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 firstSheet="20" activeTab="28"/>
  </bookViews>
  <sheets>
    <sheet name="СШ №1" sheetId="2" r:id="rId1"/>
    <sheet name="СШ №2" sheetId="6" r:id="rId2"/>
    <sheet name="СШ №3" sheetId="7" r:id="rId3"/>
    <sheet name="СШ Серикова" sheetId="8" r:id="rId4"/>
    <sheet name="Алматинская НШ" sheetId="9" r:id="rId5"/>
    <sheet name="аксай" sheetId="10" r:id="rId6"/>
    <sheet name="речная" sheetId="11" r:id="rId7"/>
    <sheet name="жаныспай" sheetId="12" r:id="rId8"/>
    <sheet name="иглик" sheetId="17" r:id="rId9"/>
    <sheet name="ковыльный" sheetId="18" r:id="rId10"/>
    <sheet name="калачевская" sheetId="19" r:id="rId11"/>
    <sheet name="курская" sheetId="20" r:id="rId12"/>
    <sheet name="каракольская" sheetId="21" r:id="rId13"/>
    <sheet name="орловка" sheetId="22" r:id="rId14"/>
    <sheet name="знаменка" sheetId="26" r:id="rId15"/>
    <sheet name="зареченская" sheetId="23" r:id="rId16"/>
    <sheet name="Раздольное" sheetId="24" r:id="rId17"/>
    <sheet name="двуречный" sheetId="27" r:id="rId18"/>
    <sheet name="Интернациональная" sheetId="28" r:id="rId19"/>
    <sheet name="кумайская" sheetId="29" r:id="rId20"/>
    <sheet name="московская" sheetId="30" r:id="rId21"/>
    <sheet name="свободненская" sheetId="32" r:id="rId22"/>
    <sheet name="ейский" sheetId="33" r:id="rId23"/>
    <sheet name="сурганская" sheetId="34" r:id="rId24"/>
    <sheet name="юбилейное" sheetId="46" r:id="rId25"/>
    <sheet name="бузулукская" sheetId="35" r:id="rId26"/>
    <sheet name="ярославская" sheetId="36" r:id="rId27"/>
    <sheet name="красивое" sheetId="37" r:id="rId28"/>
    <sheet name="Лист1" sheetId="47" r:id="rId2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37" l="1"/>
  <c r="E30" i="37"/>
  <c r="E30" i="36"/>
  <c r="E30" i="35"/>
  <c r="E30" i="46"/>
  <c r="E30" i="34"/>
  <c r="E30" i="33"/>
  <c r="E33" i="32"/>
  <c r="E30" i="32"/>
  <c r="E33" i="30"/>
  <c r="E30" i="30"/>
  <c r="E30" i="29"/>
  <c r="E30" i="28"/>
  <c r="E30" i="27"/>
  <c r="E30" i="24"/>
  <c r="E33" i="23"/>
  <c r="E30" i="23"/>
  <c r="E33" i="26"/>
  <c r="E30" i="26"/>
  <c r="E33" i="22"/>
  <c r="E30" i="22"/>
  <c r="E33" i="21"/>
  <c r="E30" i="21"/>
  <c r="E30" i="20"/>
  <c r="E30" i="19"/>
  <c r="E30" i="18"/>
  <c r="E33" i="17"/>
  <c r="E30" i="17"/>
  <c r="E30" i="12"/>
  <c r="E30" i="11"/>
  <c r="E33" i="10"/>
  <c r="E30" i="10"/>
  <c r="E30" i="9"/>
  <c r="E33" i="8"/>
  <c r="E32" i="8"/>
  <c r="E30" i="8"/>
  <c r="E34" i="7"/>
  <c r="E33" i="7"/>
  <c r="E31" i="7"/>
  <c r="E34" i="6"/>
  <c r="E33" i="6"/>
  <c r="E31" i="6"/>
  <c r="E32" i="2"/>
  <c r="E30" i="2"/>
  <c r="D13" i="2"/>
  <c r="F13" i="36" l="1"/>
  <c r="E15" i="2" l="1"/>
  <c r="E21" i="6" l="1"/>
  <c r="D16" i="6"/>
  <c r="E18" i="6"/>
  <c r="E29" i="37" l="1"/>
  <c r="E23" i="37"/>
  <c r="E20" i="37"/>
  <c r="E17" i="37"/>
  <c r="E15" i="37"/>
  <c r="E29" i="36"/>
  <c r="E26" i="36"/>
  <c r="E23" i="36"/>
  <c r="E20" i="36"/>
  <c r="E17" i="36"/>
  <c r="E29" i="35"/>
  <c r="E26" i="35"/>
  <c r="E23" i="35"/>
  <c r="E20" i="35"/>
  <c r="E17" i="35"/>
  <c r="E29" i="46"/>
  <c r="E26" i="46"/>
  <c r="E23" i="46"/>
  <c r="E20" i="46"/>
  <c r="E17" i="46"/>
  <c r="E29" i="34"/>
  <c r="E26" i="34"/>
  <c r="E23" i="34"/>
  <c r="E20" i="34"/>
  <c r="E17" i="34"/>
  <c r="E29" i="33"/>
  <c r="E26" i="33"/>
  <c r="E23" i="33"/>
  <c r="E20" i="33"/>
  <c r="E29" i="32"/>
  <c r="E26" i="32"/>
  <c r="E23" i="32"/>
  <c r="E20" i="32"/>
  <c r="E17" i="32"/>
  <c r="E29" i="30"/>
  <c r="E26" i="30"/>
  <c r="E23" i="30"/>
  <c r="E20" i="30"/>
  <c r="E17" i="30"/>
  <c r="E29" i="29"/>
  <c r="E23" i="29"/>
  <c r="E20" i="29"/>
  <c r="E17" i="29"/>
  <c r="E26" i="28"/>
  <c r="E23" i="28"/>
  <c r="E20" i="28"/>
  <c r="E17" i="28"/>
  <c r="E29" i="27"/>
  <c r="E26" i="27"/>
  <c r="E23" i="27"/>
  <c r="E20" i="27"/>
  <c r="E17" i="27"/>
  <c r="E29" i="24"/>
  <c r="E26" i="24"/>
  <c r="E23" i="24"/>
  <c r="E20" i="24"/>
  <c r="E17" i="24"/>
  <c r="E29" i="23"/>
  <c r="E26" i="23"/>
  <c r="E23" i="23"/>
  <c r="E20" i="23"/>
  <c r="E17" i="23"/>
  <c r="E29" i="26"/>
  <c r="E26" i="26"/>
  <c r="E23" i="26"/>
  <c r="E20" i="26"/>
  <c r="E17" i="26"/>
  <c r="E20" i="22"/>
  <c r="E29" i="22"/>
  <c r="E26" i="22"/>
  <c r="E23" i="22"/>
  <c r="E17" i="22"/>
  <c r="E29" i="21"/>
  <c r="E26" i="21"/>
  <c r="E23" i="21"/>
  <c r="E20" i="21"/>
  <c r="E17" i="21"/>
  <c r="E29" i="20"/>
  <c r="E26" i="20"/>
  <c r="E23" i="20"/>
  <c r="E20" i="20"/>
  <c r="E17" i="20"/>
  <c r="E29" i="19"/>
  <c r="E26" i="19"/>
  <c r="E23" i="19"/>
  <c r="E29" i="18"/>
  <c r="E26" i="18"/>
  <c r="E23" i="18"/>
  <c r="E20" i="18"/>
  <c r="E17" i="18"/>
  <c r="E29" i="17"/>
  <c r="E26" i="17"/>
  <c r="E23" i="17"/>
  <c r="E20" i="17"/>
  <c r="E17" i="17"/>
  <c r="E29" i="12"/>
  <c r="E26" i="12"/>
  <c r="E23" i="12"/>
  <c r="E20" i="12"/>
  <c r="E17" i="12"/>
  <c r="E29" i="11"/>
  <c r="E26" i="11"/>
  <c r="E20" i="11"/>
  <c r="E29" i="10"/>
  <c r="E26" i="10"/>
  <c r="E23" i="10"/>
  <c r="E20" i="10"/>
  <c r="E17" i="10"/>
  <c r="E29" i="9"/>
  <c r="E26" i="9"/>
  <c r="E17" i="9"/>
  <c r="E20" i="9"/>
  <c r="E29" i="8"/>
  <c r="E26" i="8"/>
  <c r="E23" i="8"/>
  <c r="E20" i="8"/>
  <c r="E27" i="7"/>
  <c r="E24" i="7"/>
  <c r="E21" i="7"/>
  <c r="E18" i="7"/>
  <c r="E27" i="6"/>
  <c r="E24" i="6"/>
  <c r="E30" i="7"/>
  <c r="E30" i="6"/>
  <c r="E20" i="2"/>
  <c r="E15" i="33" l="1"/>
  <c r="E13" i="33" s="1"/>
  <c r="E14" i="6"/>
  <c r="E15" i="23"/>
  <c r="E15" i="26"/>
  <c r="E15" i="46"/>
  <c r="E15" i="22"/>
  <c r="E15" i="20"/>
  <c r="E15" i="29"/>
  <c r="E15" i="35"/>
  <c r="E15" i="17"/>
  <c r="E15" i="19"/>
  <c r="F13" i="23"/>
  <c r="E15" i="30"/>
  <c r="E15" i="32"/>
  <c r="E15" i="10"/>
  <c r="E15" i="21"/>
  <c r="E15" i="28"/>
  <c r="E15" i="34"/>
  <c r="E15" i="18"/>
  <c r="F14" i="6"/>
  <c r="E29" i="2"/>
  <c r="E26" i="2"/>
  <c r="E23" i="2"/>
  <c r="D17" i="2"/>
  <c r="E17" i="2" l="1"/>
  <c r="D33" i="11" l="1"/>
  <c r="D32" i="11"/>
  <c r="D30" i="11"/>
  <c r="D29" i="11"/>
  <c r="D26" i="11"/>
  <c r="D20" i="11"/>
  <c r="D33" i="9"/>
  <c r="D32" i="9"/>
  <c r="D31" i="9"/>
  <c r="D30" i="9"/>
  <c r="D29" i="9"/>
  <c r="D26" i="9"/>
  <c r="D20" i="9"/>
  <c r="D17" i="9"/>
  <c r="D33" i="37"/>
  <c r="D32" i="37"/>
  <c r="D30" i="37"/>
  <c r="D29" i="37"/>
  <c r="D26" i="37"/>
  <c r="D23" i="37"/>
  <c r="D20" i="37"/>
  <c r="D17" i="37"/>
  <c r="C15" i="37"/>
  <c r="D33" i="36"/>
  <c r="D32" i="36"/>
  <c r="D31" i="36"/>
  <c r="D30" i="36"/>
  <c r="D29" i="36"/>
  <c r="D26" i="36"/>
  <c r="D23" i="36"/>
  <c r="D20" i="36"/>
  <c r="D17" i="36"/>
  <c r="E19" i="36"/>
  <c r="D33" i="35" l="1"/>
  <c r="D32" i="35"/>
  <c r="D30" i="35"/>
  <c r="D29" i="35"/>
  <c r="D26" i="35"/>
  <c r="D23" i="35"/>
  <c r="D20" i="35"/>
  <c r="D17" i="35"/>
  <c r="D33" i="46"/>
  <c r="D32" i="46"/>
  <c r="D30" i="46"/>
  <c r="D29" i="46"/>
  <c r="D26" i="46"/>
  <c r="D23" i="46"/>
  <c r="D20" i="46"/>
  <c r="D17" i="46"/>
  <c r="D33" i="34"/>
  <c r="D32" i="34"/>
  <c r="D30" i="34"/>
  <c r="D29" i="34"/>
  <c r="D26" i="34"/>
  <c r="D23" i="34"/>
  <c r="D20" i="34"/>
  <c r="D17" i="34"/>
  <c r="E22" i="33"/>
  <c r="D33" i="33"/>
  <c r="D32" i="33"/>
  <c r="D30" i="33"/>
  <c r="D29" i="33"/>
  <c r="D26" i="33"/>
  <c r="D23" i="33"/>
  <c r="D20" i="33"/>
  <c r="D33" i="32"/>
  <c r="D32" i="32"/>
  <c r="D31" i="32"/>
  <c r="D30" i="32"/>
  <c r="D29" i="32"/>
  <c r="D26" i="32"/>
  <c r="D23" i="32"/>
  <c r="D20" i="32"/>
  <c r="D17" i="32"/>
  <c r="D13" i="30"/>
  <c r="D33" i="30"/>
  <c r="D32" i="30"/>
  <c r="D30" i="30"/>
  <c r="D29" i="30"/>
  <c r="D26" i="30"/>
  <c r="D23" i="30"/>
  <c r="D20" i="30"/>
  <c r="D17" i="30"/>
  <c r="D33" i="29"/>
  <c r="D32" i="29"/>
  <c r="D30" i="29"/>
  <c r="D29" i="29"/>
  <c r="D26" i="29"/>
  <c r="D23" i="29"/>
  <c r="D20" i="29"/>
  <c r="D17" i="29"/>
  <c r="D33" i="28"/>
  <c r="D32" i="28"/>
  <c r="D31" i="28"/>
  <c r="D30" i="28"/>
  <c r="D29" i="28"/>
  <c r="D26" i="28"/>
  <c r="D23" i="28"/>
  <c r="D20" i="28"/>
  <c r="D17" i="28"/>
  <c r="D33" i="27"/>
  <c r="D32" i="27"/>
  <c r="D31" i="27"/>
  <c r="D30" i="27"/>
  <c r="D29" i="27"/>
  <c r="D26" i="27"/>
  <c r="D23" i="27"/>
  <c r="D20" i="27"/>
  <c r="D17" i="27"/>
  <c r="D33" i="24"/>
  <c r="D32" i="24"/>
  <c r="D30" i="24"/>
  <c r="D29" i="24"/>
  <c r="D26" i="24"/>
  <c r="D23" i="24"/>
  <c r="D20" i="24"/>
  <c r="D17" i="24"/>
  <c r="C15" i="24"/>
  <c r="D33" i="23"/>
  <c r="D32" i="23"/>
  <c r="D31" i="23"/>
  <c r="D30" i="23"/>
  <c r="D29" i="23"/>
  <c r="D26" i="23"/>
  <c r="D23" i="23"/>
  <c r="D20" i="23"/>
  <c r="D17" i="23"/>
  <c r="C13" i="23"/>
  <c r="C15" i="23"/>
  <c r="D33" i="26" l="1"/>
  <c r="D32" i="26"/>
  <c r="D31" i="26"/>
  <c r="D30" i="26"/>
  <c r="D29" i="26"/>
  <c r="D26" i="26"/>
  <c r="D23" i="26"/>
  <c r="D20" i="26"/>
  <c r="D17" i="26"/>
  <c r="C13" i="26"/>
  <c r="C15" i="26"/>
  <c r="D31" i="22"/>
  <c r="D30" i="22"/>
  <c r="D33" i="22"/>
  <c r="D32" i="22"/>
  <c r="D29" i="22"/>
  <c r="D26" i="22"/>
  <c r="D23" i="22"/>
  <c r="D20" i="22"/>
  <c r="D17" i="22"/>
  <c r="D19" i="22"/>
  <c r="C15" i="22"/>
  <c r="D31" i="21"/>
  <c r="D30" i="21"/>
  <c r="D33" i="21"/>
  <c r="D32" i="21"/>
  <c r="D29" i="21"/>
  <c r="D26" i="21"/>
  <c r="D23" i="21"/>
  <c r="D20" i="21"/>
  <c r="D17" i="21"/>
  <c r="D19" i="21"/>
  <c r="C15" i="21"/>
  <c r="C13" i="21"/>
  <c r="D33" i="20"/>
  <c r="D31" i="20"/>
  <c r="D30" i="20"/>
  <c r="D29" i="20"/>
  <c r="D26" i="20"/>
  <c r="D23" i="20"/>
  <c r="D20" i="20"/>
  <c r="D17" i="20"/>
  <c r="D19" i="20"/>
  <c r="D28" i="18" l="1"/>
  <c r="D19" i="18"/>
  <c r="D22" i="18"/>
  <c r="D25" i="18"/>
  <c r="D33" i="18"/>
  <c r="D32" i="18"/>
  <c r="D31" i="18"/>
  <c r="E22" i="18"/>
  <c r="C15" i="12"/>
  <c r="D25" i="12"/>
  <c r="D19" i="12"/>
  <c r="D22" i="12"/>
  <c r="E25" i="12"/>
  <c r="E19" i="12"/>
  <c r="D26" i="12" l="1"/>
  <c r="D23" i="12"/>
  <c r="D20" i="12"/>
  <c r="D17" i="12"/>
  <c r="D33" i="10"/>
  <c r="D31" i="10"/>
  <c r="D25" i="10"/>
  <c r="D28" i="10"/>
  <c r="D22" i="10"/>
  <c r="D19" i="10"/>
  <c r="D33" i="8"/>
  <c r="D32" i="8"/>
  <c r="D31" i="8"/>
  <c r="D30" i="8"/>
  <c r="D15" i="8"/>
  <c r="D29" i="8" l="1"/>
  <c r="D28" i="8"/>
  <c r="D25" i="8"/>
  <c r="D22" i="8"/>
  <c r="D19" i="8"/>
  <c r="C19" i="8"/>
  <c r="D34" i="7"/>
  <c r="D33" i="7"/>
  <c r="D32" i="7"/>
  <c r="C16" i="6"/>
  <c r="C14" i="6" s="1"/>
  <c r="D30" i="7"/>
  <c r="D29" i="7"/>
  <c r="D26" i="7"/>
  <c r="D23" i="7"/>
  <c r="D20" i="7"/>
  <c r="D29" i="6"/>
  <c r="D22" i="2"/>
  <c r="D28" i="2"/>
  <c r="D25" i="2"/>
  <c r="D19" i="2"/>
  <c r="D24" i="6"/>
  <c r="D26" i="6" s="1"/>
  <c r="D21" i="6"/>
  <c r="D23" i="6"/>
  <c r="D18" i="6"/>
  <c r="D20" i="6" s="1"/>
  <c r="D33" i="17"/>
  <c r="D32" i="17"/>
  <c r="D31" i="17"/>
  <c r="D30" i="17"/>
  <c r="D29" i="17"/>
  <c r="D26" i="17"/>
  <c r="D28" i="17" s="1"/>
  <c r="C13" i="2"/>
  <c r="C15" i="17"/>
  <c r="C13" i="17" s="1"/>
  <c r="D23" i="17"/>
  <c r="D25" i="17" s="1"/>
  <c r="D20" i="17"/>
  <c r="D22" i="17" s="1"/>
  <c r="D17" i="17"/>
  <c r="D19" i="17" s="1"/>
  <c r="D33" i="2" l="1"/>
  <c r="D32" i="2"/>
  <c r="D31" i="2"/>
  <c r="D30" i="2"/>
  <c r="D29" i="2"/>
  <c r="D15" i="2"/>
  <c r="D26" i="2"/>
  <c r="D23" i="2"/>
  <c r="D20" i="2"/>
  <c r="E25" i="2" l="1"/>
  <c r="E22" i="2"/>
  <c r="E19" i="2"/>
  <c r="E23" i="6"/>
  <c r="E13" i="37"/>
  <c r="F13" i="37"/>
  <c r="E28" i="37"/>
  <c r="E25" i="37"/>
  <c r="E22" i="37"/>
  <c r="E19" i="37"/>
  <c r="F13" i="26"/>
  <c r="E28" i="26"/>
  <c r="E25" i="26"/>
  <c r="E22" i="26"/>
  <c r="E19" i="26"/>
  <c r="E28" i="22"/>
  <c r="E25" i="22"/>
  <c r="E22" i="22"/>
  <c r="E19" i="22"/>
  <c r="F13" i="35"/>
  <c r="E28" i="35"/>
  <c r="E25" i="35"/>
  <c r="E22" i="35"/>
  <c r="E19" i="35"/>
  <c r="F13" i="29"/>
  <c r="F12" i="29" s="1"/>
  <c r="E28" i="29"/>
  <c r="E25" i="29"/>
  <c r="E22" i="29"/>
  <c r="E19" i="29"/>
  <c r="E22" i="46"/>
  <c r="E19" i="46"/>
  <c r="E28" i="20"/>
  <c r="E25" i="20"/>
  <c r="E22" i="20"/>
  <c r="E19" i="20"/>
  <c r="E28" i="17"/>
  <c r="E25" i="17"/>
  <c r="E22" i="17"/>
  <c r="E19" i="17"/>
  <c r="E28" i="8"/>
  <c r="E25" i="8"/>
  <c r="E22" i="8"/>
  <c r="E19" i="8"/>
  <c r="E29" i="7"/>
  <c r="E26" i="7"/>
  <c r="E23" i="7"/>
  <c r="E20" i="7"/>
  <c r="E28" i="32"/>
  <c r="E25" i="32"/>
  <c r="E22" i="32"/>
  <c r="E19" i="32"/>
  <c r="E28" i="21"/>
  <c r="E25" i="21"/>
  <c r="E22" i="21"/>
  <c r="E19" i="21"/>
  <c r="F13" i="10"/>
  <c r="E28" i="10"/>
  <c r="E25" i="10"/>
  <c r="E22" i="10"/>
  <c r="E19" i="10"/>
  <c r="E28" i="34"/>
  <c r="E25" i="34"/>
  <c r="E22" i="34"/>
  <c r="E19" i="34"/>
  <c r="F13" i="28"/>
  <c r="E28" i="28"/>
  <c r="E25" i="28"/>
  <c r="E22" i="28"/>
  <c r="E19" i="28"/>
  <c r="E28" i="23"/>
  <c r="E25" i="23"/>
  <c r="E22" i="23"/>
  <c r="E19" i="23"/>
  <c r="E28" i="24"/>
  <c r="E22" i="24"/>
  <c r="E19" i="24"/>
  <c r="F13" i="24"/>
  <c r="F13" i="30"/>
  <c r="E28" i="30"/>
  <c r="E25" i="30"/>
  <c r="E22" i="30"/>
  <c r="E19" i="30"/>
  <c r="E28" i="19"/>
  <c r="E20" i="19"/>
  <c r="E22" i="19" s="1"/>
  <c r="E28" i="9"/>
  <c r="E19" i="9"/>
  <c r="E28" i="27"/>
  <c r="E25" i="27"/>
  <c r="E22" i="27"/>
  <c r="E19" i="27"/>
  <c r="D15" i="36" l="1"/>
  <c r="E28" i="36"/>
  <c r="E22" i="36"/>
  <c r="E25" i="36"/>
  <c r="C15" i="36"/>
  <c r="F13" i="34"/>
  <c r="F13" i="11" l="1"/>
  <c r="F13" i="46"/>
  <c r="F13" i="33"/>
  <c r="F13" i="22"/>
  <c r="F13" i="21"/>
  <c r="F13" i="20"/>
  <c r="F13" i="19"/>
  <c r="F12" i="19" s="1"/>
  <c r="F13" i="17"/>
  <c r="F13" i="2"/>
  <c r="D28" i="34"/>
  <c r="D25" i="34"/>
  <c r="D22" i="34"/>
  <c r="D19" i="34"/>
  <c r="D30" i="19" l="1"/>
  <c r="E28" i="12"/>
  <c r="E22" i="12"/>
  <c r="D28" i="37"/>
  <c r="D25" i="37"/>
  <c r="D22" i="37"/>
  <c r="D19" i="37"/>
  <c r="D28" i="35"/>
  <c r="D25" i="35"/>
  <c r="D22" i="35"/>
  <c r="D19" i="35"/>
  <c r="D28" i="46"/>
  <c r="D25" i="46"/>
  <c r="D22" i="46"/>
  <c r="D19" i="46"/>
  <c r="E28" i="33" l="1"/>
  <c r="D28" i="33"/>
  <c r="E25" i="33"/>
  <c r="D25" i="33"/>
  <c r="D22" i="33"/>
  <c r="D28" i="32"/>
  <c r="D25" i="32"/>
  <c r="D22" i="32"/>
  <c r="D19" i="32"/>
  <c r="D28" i="29"/>
  <c r="D25" i="29"/>
  <c r="D22" i="29"/>
  <c r="D19" i="29"/>
  <c r="D28" i="28"/>
  <c r="D25" i="28"/>
  <c r="D22" i="28"/>
  <c r="D19" i="28"/>
  <c r="D28" i="27"/>
  <c r="D25" i="27"/>
  <c r="D22" i="27"/>
  <c r="D19" i="27"/>
  <c r="D28" i="26"/>
  <c r="D25" i="26"/>
  <c r="D22" i="26"/>
  <c r="D19" i="26"/>
  <c r="D28" i="22"/>
  <c r="D25" i="22"/>
  <c r="D22" i="22"/>
  <c r="D28" i="21"/>
  <c r="D25" i="21"/>
  <c r="D22" i="21"/>
  <c r="D28" i="20" l="1"/>
  <c r="D25" i="20"/>
  <c r="D22" i="20"/>
  <c r="E28" i="18"/>
  <c r="E25" i="18"/>
  <c r="E19" i="18"/>
  <c r="D28" i="12"/>
  <c r="D28" i="11"/>
  <c r="D22" i="11"/>
  <c r="D28" i="9"/>
  <c r="E25" i="9"/>
  <c r="D25" i="9"/>
  <c r="D22" i="9"/>
  <c r="D28" i="36"/>
  <c r="D25" i="36"/>
  <c r="D22" i="36"/>
  <c r="D19" i="36"/>
  <c r="D28" i="30"/>
  <c r="D25" i="30"/>
  <c r="D22" i="30"/>
  <c r="D19" i="30"/>
  <c r="D28" i="24"/>
  <c r="D22" i="24"/>
  <c r="D19" i="24"/>
  <c r="D28" i="19"/>
  <c r="E25" i="19"/>
  <c r="D25" i="19"/>
  <c r="D22" i="19"/>
  <c r="D28" i="23"/>
  <c r="D25" i="23"/>
  <c r="D22" i="23"/>
  <c r="D19" i="23"/>
  <c r="D15" i="19" l="1"/>
  <c r="C19" i="17"/>
  <c r="D15" i="11"/>
  <c r="E15" i="12"/>
  <c r="F13" i="18"/>
  <c r="F13" i="12" l="1"/>
  <c r="F14" i="7"/>
  <c r="F13" i="8" l="1"/>
  <c r="F12" i="2"/>
  <c r="F13" i="9" l="1"/>
  <c r="F13" i="32" l="1"/>
  <c r="F13" i="27"/>
  <c r="E15" i="9" l="1"/>
  <c r="E14" i="7"/>
  <c r="E13" i="7" s="1"/>
  <c r="C20" i="7"/>
  <c r="D15" i="22"/>
  <c r="D13" i="22" s="1"/>
  <c r="C15" i="19"/>
  <c r="C13" i="19" s="1"/>
  <c r="C13" i="18"/>
  <c r="D15" i="18"/>
  <c r="D13" i="18" s="1"/>
  <c r="E13" i="18"/>
  <c r="D15" i="17"/>
  <c r="D13" i="17" s="1"/>
  <c r="C15" i="11"/>
  <c r="C13" i="11" s="1"/>
  <c r="C12" i="11" s="1"/>
  <c r="E15" i="11"/>
  <c r="E13" i="11" s="1"/>
  <c r="C15" i="10"/>
  <c r="C19" i="10"/>
  <c r="C15" i="9"/>
  <c r="C13" i="9" s="1"/>
  <c r="C12" i="9" s="1"/>
  <c r="C15" i="8"/>
  <c r="C13" i="8" s="1"/>
  <c r="C22" i="8"/>
  <c r="C14" i="7"/>
  <c r="C15" i="2" l="1"/>
  <c r="C28" i="37"/>
  <c r="C25" i="37"/>
  <c r="C22" i="37"/>
  <c r="C19" i="37"/>
  <c r="D15" i="37"/>
  <c r="D13" i="37" s="1"/>
  <c r="D12" i="37" s="1"/>
  <c r="C28" i="36"/>
  <c r="C25" i="36"/>
  <c r="C22" i="36"/>
  <c r="C19" i="36"/>
  <c r="E15" i="36"/>
  <c r="E13" i="36" s="1"/>
  <c r="D13" i="36"/>
  <c r="C28" i="35"/>
  <c r="C25" i="35"/>
  <c r="C22" i="35"/>
  <c r="C19" i="35"/>
  <c r="D15" i="35"/>
  <c r="C15" i="35"/>
  <c r="C13" i="35" s="1"/>
  <c r="C28" i="46"/>
  <c r="C25" i="46"/>
  <c r="C22" i="46"/>
  <c r="C19" i="46"/>
  <c r="D15" i="46"/>
  <c r="D13" i="46" s="1"/>
  <c r="C15" i="46"/>
  <c r="C19" i="34"/>
  <c r="C28" i="34"/>
  <c r="C25" i="34"/>
  <c r="C22" i="34"/>
  <c r="E13" i="34"/>
  <c r="D15" i="34"/>
  <c r="D13" i="34" s="1"/>
  <c r="C15" i="34"/>
  <c r="C28" i="33"/>
  <c r="C25" i="33"/>
  <c r="C22" i="33"/>
  <c r="D15" i="33"/>
  <c r="D13" i="33" s="1"/>
  <c r="C15" i="33"/>
  <c r="C28" i="32"/>
  <c r="C25" i="32"/>
  <c r="C22" i="32"/>
  <c r="C19" i="32"/>
  <c r="D15" i="32"/>
  <c r="D13" i="32" s="1"/>
  <c r="C15" i="32"/>
  <c r="C28" i="30" l="1"/>
  <c r="C25" i="30"/>
  <c r="C22" i="30"/>
  <c r="C19" i="30"/>
  <c r="D15" i="30"/>
  <c r="C15" i="30"/>
  <c r="C28" i="29"/>
  <c r="C25" i="29"/>
  <c r="C22" i="29"/>
  <c r="C19" i="29"/>
  <c r="D15" i="29"/>
  <c r="D13" i="29" s="1"/>
  <c r="C15" i="29"/>
  <c r="D15" i="28"/>
  <c r="D13" i="28" s="1"/>
  <c r="C15" i="28"/>
  <c r="C28" i="28"/>
  <c r="C25" i="28"/>
  <c r="C22" i="28"/>
  <c r="C19" i="28"/>
  <c r="C28" i="27"/>
  <c r="C25" i="27"/>
  <c r="C22" i="27"/>
  <c r="C19" i="27"/>
  <c r="E15" i="27"/>
  <c r="D15" i="27"/>
  <c r="C15" i="27"/>
  <c r="C28" i="24"/>
  <c r="C22" i="24"/>
  <c r="C19" i="24"/>
  <c r="E15" i="24"/>
  <c r="D15" i="24"/>
  <c r="D13" i="24" s="1"/>
  <c r="C13" i="24"/>
  <c r="C28" i="23"/>
  <c r="C25" i="23"/>
  <c r="C22" i="23"/>
  <c r="C19" i="23"/>
  <c r="E13" i="23"/>
  <c r="D15" i="23"/>
  <c r="D13" i="23" s="1"/>
  <c r="C28" i="26"/>
  <c r="C25" i="26"/>
  <c r="C22" i="26"/>
  <c r="C19" i="26"/>
  <c r="D15" i="26"/>
  <c r="D13" i="26" s="1"/>
  <c r="C28" i="22"/>
  <c r="C25" i="22"/>
  <c r="C22" i="22"/>
  <c r="C19" i="22"/>
  <c r="C28" i="21"/>
  <c r="C25" i="21"/>
  <c r="C22" i="21"/>
  <c r="C19" i="21"/>
  <c r="D15" i="21"/>
  <c r="D15" i="20"/>
  <c r="C28" i="20"/>
  <c r="C25" i="20"/>
  <c r="C22" i="20"/>
  <c r="C19" i="20"/>
  <c r="C28" i="19"/>
  <c r="C25" i="19"/>
  <c r="C22" i="19"/>
  <c r="D16" i="19"/>
  <c r="D13" i="19"/>
  <c r="C28" i="18"/>
  <c r="C25" i="18"/>
  <c r="C22" i="18"/>
  <c r="C19" i="18"/>
  <c r="D16" i="18"/>
  <c r="C28" i="17"/>
  <c r="C25" i="17"/>
  <c r="C22" i="17"/>
  <c r="E13" i="12"/>
  <c r="D15" i="12"/>
  <c r="C28" i="12"/>
  <c r="C25" i="12"/>
  <c r="C22" i="12"/>
  <c r="C19" i="12"/>
  <c r="C28" i="11"/>
  <c r="E25" i="11"/>
  <c r="D25" i="11"/>
  <c r="C25" i="11"/>
  <c r="C22" i="11"/>
  <c r="C28" i="10"/>
  <c r="C25" i="10"/>
  <c r="C22" i="10"/>
  <c r="D15" i="9"/>
  <c r="C28" i="9"/>
  <c r="C25" i="9"/>
  <c r="C22" i="9"/>
  <c r="E13" i="8"/>
  <c r="D13" i="8"/>
  <c r="C28" i="8"/>
  <c r="C25" i="8"/>
  <c r="D13" i="9" l="1"/>
  <c r="C29" i="7"/>
  <c r="C26" i="7"/>
  <c r="C23" i="7"/>
  <c r="D16" i="7"/>
  <c r="D14" i="7" s="1"/>
  <c r="D14" i="6"/>
  <c r="C29" i="6"/>
  <c r="C26" i="6"/>
  <c r="C23" i="6"/>
  <c r="C20" i="6"/>
  <c r="D15" i="10"/>
  <c r="D13" i="10" s="1"/>
  <c r="D12" i="10" s="1"/>
  <c r="D14" i="37"/>
  <c r="C13" i="37"/>
  <c r="D14" i="36"/>
  <c r="C13" i="36"/>
  <c r="D12" i="36" s="1"/>
  <c r="D31" i="35"/>
  <c r="D13" i="35" s="1"/>
  <c r="D12" i="35" s="1"/>
  <c r="D14" i="35"/>
  <c r="D14" i="46"/>
  <c r="D14" i="34"/>
  <c r="C13" i="34"/>
  <c r="D12" i="34" s="1"/>
  <c r="D14" i="33"/>
  <c r="C13" i="33"/>
  <c r="D12" i="33" s="1"/>
  <c r="D14" i="32"/>
  <c r="C13" i="32"/>
  <c r="D12" i="32" s="1"/>
  <c r="D14" i="30"/>
  <c r="C13" i="30"/>
  <c r="E13" i="29"/>
  <c r="E12" i="29" s="1"/>
  <c r="D14" i="29"/>
  <c r="C13" i="29"/>
  <c r="D12" i="29" s="1"/>
  <c r="D14" i="28"/>
  <c r="C13" i="28"/>
  <c r="D12" i="28" s="1"/>
  <c r="D13" i="27"/>
  <c r="D14" i="27"/>
  <c r="C13" i="27"/>
  <c r="D14" i="24"/>
  <c r="D14" i="23"/>
  <c r="D12" i="23"/>
  <c r="D12" i="27" l="1"/>
  <c r="C13" i="46"/>
  <c r="D12" i="46" s="1"/>
  <c r="E13" i="30"/>
  <c r="C12" i="37"/>
  <c r="E12" i="37"/>
  <c r="C12" i="36"/>
  <c r="E12" i="36"/>
  <c r="E13" i="35"/>
  <c r="E12" i="35" s="1"/>
  <c r="C12" i="35"/>
  <c r="E13" i="46"/>
  <c r="E12" i="46" s="1"/>
  <c r="E12" i="34"/>
  <c r="C12" i="34"/>
  <c r="E12" i="33"/>
  <c r="C12" i="33"/>
  <c r="E13" i="32"/>
  <c r="E12" i="32" s="1"/>
  <c r="C12" i="32"/>
  <c r="C12" i="30"/>
  <c r="C12" i="29"/>
  <c r="E13" i="28"/>
  <c r="E12" i="28" s="1"/>
  <c r="C12" i="28"/>
  <c r="E13" i="27"/>
  <c r="E12" i="27" s="1"/>
  <c r="C12" i="27"/>
  <c r="E13" i="24"/>
  <c r="E12" i="24" s="1"/>
  <c r="E12" i="23"/>
  <c r="C12" i="23"/>
  <c r="E12" i="30" l="1"/>
  <c r="D12" i="30"/>
  <c r="C12" i="46"/>
  <c r="D12" i="24"/>
  <c r="C12" i="24"/>
  <c r="C13" i="22" l="1"/>
  <c r="C13" i="20"/>
  <c r="C13" i="12"/>
  <c r="C13" i="10"/>
  <c r="D15" i="6"/>
  <c r="C13" i="7"/>
  <c r="C13" i="6"/>
  <c r="C28" i="2"/>
  <c r="C25" i="2"/>
  <c r="C22" i="2"/>
  <c r="C19" i="2"/>
  <c r="C12" i="8" l="1"/>
  <c r="C12" i="2"/>
  <c r="D13" i="6"/>
  <c r="C12" i="22"/>
  <c r="C12" i="21"/>
  <c r="C12" i="20"/>
  <c r="C12" i="18"/>
  <c r="C12" i="10"/>
  <c r="C12" i="12"/>
  <c r="D14" i="10" l="1"/>
  <c r="D14" i="9"/>
  <c r="D12" i="9" l="1"/>
  <c r="D14" i="8"/>
  <c r="D16" i="8"/>
  <c r="D15" i="7"/>
  <c r="D14" i="26"/>
  <c r="E13" i="22"/>
  <c r="E12" i="22" s="1"/>
  <c r="D14" i="22"/>
  <c r="E13" i="21"/>
  <c r="E12" i="21" s="1"/>
  <c r="D14" i="21"/>
  <c r="D13" i="21"/>
  <c r="D12" i="21" s="1"/>
  <c r="E13" i="20"/>
  <c r="E12" i="20" s="1"/>
  <c r="D14" i="20"/>
  <c r="D13" i="20"/>
  <c r="D12" i="20" s="1"/>
  <c r="D14" i="19"/>
  <c r="E12" i="18"/>
  <c r="D14" i="18"/>
  <c r="D12" i="18"/>
  <c r="D14" i="17"/>
  <c r="D16" i="17"/>
  <c r="E12" i="12"/>
  <c r="D14" i="12"/>
  <c r="D31" i="12"/>
  <c r="E12" i="11"/>
  <c r="D14" i="11"/>
  <c r="D31" i="11"/>
  <c r="D13" i="11" s="1"/>
  <c r="E13" i="6"/>
  <c r="D13" i="12" l="1"/>
  <c r="E13" i="2"/>
  <c r="D12" i="2"/>
  <c r="D13" i="7"/>
  <c r="D12" i="22"/>
  <c r="D12" i="11"/>
  <c r="D12" i="8"/>
  <c r="D12" i="12" l="1"/>
  <c r="E12" i="2"/>
  <c r="E13" i="9"/>
  <c r="E12" i="9" s="1"/>
  <c r="E12" i="8" l="1"/>
  <c r="E13" i="19"/>
  <c r="E12" i="19" s="1"/>
  <c r="E13" i="26" l="1"/>
  <c r="E12" i="26" l="1"/>
  <c r="C12" i="26"/>
  <c r="D12" i="26"/>
  <c r="C12" i="17"/>
  <c r="C12" i="19"/>
  <c r="D12" i="19" l="1"/>
  <c r="D12" i="17"/>
  <c r="E13" i="17"/>
  <c r="E12" i="17" l="1"/>
  <c r="E13" i="10" l="1"/>
  <c r="E12" i="10" l="1"/>
</calcChain>
</file>

<file path=xl/sharedStrings.xml><?xml version="1.0" encoding="utf-8"?>
<sst xmlns="http://schemas.openxmlformats.org/spreadsheetml/2006/main" count="1584" uniqueCount="110">
  <si>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</si>
  <si>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</si>
  <si>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</si>
  <si>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</si>
  <si>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</si>
  <si>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</si>
  <si>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</si>
  <si>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</si>
  <si>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</si>
  <si>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</si>
  <si>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</si>
  <si>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</si>
  <si>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</si>
  <si>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</si>
  <si>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</si>
  <si>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</si>
  <si>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</si>
  <si>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</si>
  <si>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</si>
  <si>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</si>
  <si>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</si>
  <si>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</si>
  <si>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</si>
  <si>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</si>
  <si>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</si>
  <si>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</si>
  <si>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</si>
  <si>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</si>
  <si>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</si>
  <si>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3.2. Основной персонал - учителя 109099</t>
  </si>
  <si>
    <t xml:space="preserve">3. Фонд заработной платы             </t>
  </si>
  <si>
    <t xml:space="preserve">2. Всего расходы, тыс.тенге             </t>
  </si>
  <si>
    <t>3. Фонд заработной платы        40850 /31354</t>
  </si>
  <si>
    <t>2. Всего расходы, тыс.тенге        64476 / 52440,2</t>
  </si>
  <si>
    <t>«Общеобразовательная школа №1 города Есиль отдела образования по Есильскому району управления образования Акмолинской области»</t>
  </si>
  <si>
    <t>2021год</t>
  </si>
  <si>
    <t>управления образования Акмолинской области»</t>
  </si>
  <si>
    <t xml:space="preserve">«Общеобразовательная школа №2 города Есиль отдела образования по Есильскому району </t>
  </si>
  <si>
    <t>2021 год</t>
  </si>
  <si>
    <t>району управления образования Акмолинской области»</t>
  </si>
  <si>
    <t xml:space="preserve">«Общеобразовательная школа №3 города Есиль отдела образования по Есильскому </t>
  </si>
  <si>
    <t>«Общеобразовательная школа имени Сайлау Серикова города Есиль отдела образования по Есильскому району управления образования Акмолинской области»</t>
  </si>
  <si>
    <t>«Начальная школа села Алматинское отдела образования по Есильскому району управления образования Акмолинской области»</t>
  </si>
  <si>
    <t>«Общеобразовательная школа села Аксай отдела образования по Есильскому району управления образования Акмолинской области»</t>
  </si>
  <si>
    <t>«Начальная школа села Речное отдела
 образования по Есильскому району управления образования Акмолинской области»</t>
  </si>
  <si>
    <t>«Основная средняя школа села Жаныспай отдела образования по Есильскому району управления образования Акмолинской области»</t>
  </si>
  <si>
    <t>«Основная средняя школа имени Ыбырая Алтынсарина села Иглик отдела образования по Есильскому району управления образования Акмолинской области»</t>
  </si>
  <si>
    <t>«Общеобразовательная школа села Ковыльное отдела образования по Есильскому району управления образования Акмолинской области»</t>
  </si>
  <si>
    <t>«Начальная школа села Калачи отдела образования по Есильскому району управления образования Акмолинской области»</t>
  </si>
  <si>
    <t>«Общеобразовательная школа села Курское отдела образования по Есильскому району управления образования Акмолинской области»</t>
  </si>
  <si>
    <t>«Общеобразовательная школа села Караколь отдела образования по Есильскому району управления образования Акмолинской области»</t>
  </si>
  <si>
    <t>«Общеобразовательная школа села Орловка отдела образования по Есильскому району управления образования Акмолинской области»</t>
  </si>
  <si>
    <t>«Общеобразовательная школа села Знаменка
 отдела образования по Есильскому району управления образования Акмолинской области»</t>
  </si>
  <si>
    <t>«Общеобразовательная школа села Заречное отдела образования по Есильскому району управления образования Акмолинской области»</t>
  </si>
  <si>
    <t>«Основная средняя школа села Раздольное отдела образования по Есильскому району управления образования Акмолинской области»</t>
  </si>
  <si>
    <t>«Общеобразовательная школа села Интернациональное отдела образования по Есильскому району управления образования Акмолинской области»</t>
  </si>
  <si>
    <t>«Основная средняя школа села Кумай отдела образования по Есильскому району управления образования Акмолинской области»</t>
  </si>
  <si>
    <t>«Общеобразовательная школа села Московское отдела образования по Есильскому району управления образования Акмолинской области»</t>
  </si>
  <si>
    <t>«Общеобразовательная школа села Свободное отдела образования по Есильскому району управления образования Акмолинской области»</t>
  </si>
  <si>
    <t>«Начальная школа села Ейское отдела образования по Есильскому району управления образования Акмолинской области»</t>
  </si>
  <si>
    <t>«Общеобразовательная школа села Сурган отдела образования по Есильскому району управления образования Акмолинской области»</t>
  </si>
  <si>
    <t>«Общеобразовательная школа села Юбилейное отдела образования по Есильскому району управления образования Акмолинской области»</t>
  </si>
  <si>
    <t>«Общеобразовательная школа села Бузулук отдела образования по Есильскому району управления образования Акмолинской области»</t>
  </si>
  <si>
    <t xml:space="preserve">«Основная средняя школа села Ярославка отдела образования по Есильскому району управления образования Акмолинской области» </t>
  </si>
  <si>
    <t>«Общеобразовательная школа села Красивое отдела образования по Есильскому району управления образования Акмолинской области»</t>
  </si>
  <si>
    <t xml:space="preserve">     </t>
  </si>
  <si>
    <t>20201год</t>
  </si>
  <si>
    <t xml:space="preserve">2. Всего расходы, тыс.тенге         </t>
  </si>
  <si>
    <t xml:space="preserve">3. Фонд заработной платы           </t>
  </si>
  <si>
    <t xml:space="preserve">2. Всего расходы, тыс.тенге       </t>
  </si>
  <si>
    <t xml:space="preserve">3. Фонд заработной платы   </t>
  </si>
  <si>
    <t xml:space="preserve">2. Всего расходы, тыс.тенге  </t>
  </si>
  <si>
    <t xml:space="preserve">3. Фонд заработной платы  </t>
  </si>
  <si>
    <t xml:space="preserve">2. Всего расходы, тыс.тенге                </t>
  </si>
  <si>
    <t xml:space="preserve">2. Всего расходы, тыс.тенге            </t>
  </si>
  <si>
    <t xml:space="preserve">3. Фонд заработной платы     </t>
  </si>
  <si>
    <t xml:space="preserve">2. Всего расходы, тыс.тенге     </t>
  </si>
  <si>
    <t xml:space="preserve">2. Всего расходы, тыс.тенге    </t>
  </si>
  <si>
    <t xml:space="preserve">3. Фонд заработной платы      </t>
  </si>
  <si>
    <t xml:space="preserve">3. Фонд заработной платы          </t>
  </si>
  <si>
    <t xml:space="preserve">2. Всего расходы, тыс.тенге                 </t>
  </si>
  <si>
    <t xml:space="preserve">3. Фонд заработной платы                </t>
  </si>
  <si>
    <t xml:space="preserve">3. Фонд заработной платы        </t>
  </si>
  <si>
    <t xml:space="preserve">2. Всего расходы, тыс.тенге        </t>
  </si>
  <si>
    <t xml:space="preserve">2. Всего расходы, тыс.тенге   </t>
  </si>
  <si>
    <t xml:space="preserve">3. Фонд заработной платы         </t>
  </si>
  <si>
    <t xml:space="preserve">2. Всего расходы, тыс.тенге              </t>
  </si>
  <si>
    <t xml:space="preserve">3. Фонд заработной платы            </t>
  </si>
  <si>
    <t>2. Всего расходы, тыс.тенге</t>
  </si>
  <si>
    <t xml:space="preserve">3. Фонд заработной платы              </t>
  </si>
  <si>
    <t>по состоянию на "1" января 2022г.</t>
  </si>
  <si>
    <t>в.т.ч.4 кв</t>
  </si>
  <si>
    <t>в.т.ч. 4 кв.</t>
  </si>
  <si>
    <t>в т.ч 4 кв</t>
  </si>
  <si>
    <t>в т.ч. 4 кв</t>
  </si>
  <si>
    <t>в т.ч.4 кв.</t>
  </si>
  <si>
    <t>в т.ч. 4кв.</t>
  </si>
  <si>
    <t>по состоянию на "1"января 2022 г.</t>
  </si>
  <si>
    <t>в.т.ч.  4 кв.</t>
  </si>
  <si>
    <t>в.т.ч. 4 кв</t>
  </si>
  <si>
    <t>в.т.ч.4кв</t>
  </si>
  <si>
    <t>по состоянию на "1" января  2022г.</t>
  </si>
  <si>
    <t>в т.ч. 4кв</t>
  </si>
  <si>
    <t>по состоянию на "1" января 2022 г.</t>
  </si>
  <si>
    <t>в.т.ч. 4кв.</t>
  </si>
  <si>
    <t>по состоянию на "1"января 2022г.</t>
  </si>
  <si>
    <t>в т.ч.4 кв</t>
  </si>
  <si>
    <t>по состоянию на "1 января 2022г.</t>
  </si>
  <si>
    <t>в т.ч. 4 кв.</t>
  </si>
  <si>
    <t>в.т.ч.4кв.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</si>
</sst>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name val="Arial Narrow"/>
      <family val="2"/>
      <charset val="204"/>
    </font>
    <font>
      <b/>
      <sz val="16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2" xfId="0" applyFont="1" applyFill="1" applyBorder="1"/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8" fillId="0" borderId="0" xfId="0" applyFont="1"/>
    <xf numFmtId="0" fontId="2" fillId="3" borderId="2" xfId="0" applyFont="1" applyFill="1" applyBorder="1" applyAlignment="1">
      <alignment horizontal="center"/>
    </xf>
    <xf numFmtId="164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/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/>
    <xf numFmtId="164" fontId="7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1" fontId="1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Alignment="1"/>
    <xf numFmtId="164" fontId="1" fillId="3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/>
    <xf numFmtId="164" fontId="10" fillId="0" borderId="0" xfId="0" applyNumberFormat="1" applyFont="1" applyAlignment="1"/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Border="1"/>
    <xf numFmtId="0" fontId="11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Alignment="1"/>
    <xf numFmtId="1" fontId="1" fillId="0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1" fontId="1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0" fontId="8" fillId="4" borderId="2" xfId="0" applyFont="1" applyFill="1" applyBorder="1"/>
    <xf numFmtId="164" fontId="2" fillId="2" borderId="4" xfId="0" applyNumberFormat="1" applyFont="1" applyFill="1" applyBorder="1" applyAlignment="1">
      <alignment horizontal="center"/>
    </xf>
    <xf numFmtId="0" fontId="8" fillId="2" borderId="2" xfId="0" applyFont="1" applyFill="1" applyBorder="1"/>
    <xf numFmtId="164" fontId="7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0" fontId="2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4" fontId="2" fillId="2" borderId="2" xfId="0" applyNumberFormat="1" applyFont="1" applyFill="1" applyBorder="1"/>
    <xf numFmtId="1" fontId="1" fillId="0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2" fontId="2" fillId="2" borderId="2" xfId="0" applyNumberFormat="1" applyFont="1" applyFill="1" applyBorder="1"/>
    <xf numFmtId="164" fontId="2" fillId="0" borderId="0" xfId="0" applyNumberFormat="1" applyFont="1" applyFill="1" applyBorder="1"/>
    <xf numFmtId="164" fontId="1" fillId="2" borderId="0" xfId="0" applyNumberFormat="1" applyFont="1" applyFill="1" applyBorder="1" applyAlignment="1">
      <alignment horizontal="center"/>
    </xf>
    <xf numFmtId="164" fontId="1" fillId="0" borderId="2" xfId="0" applyNumberFormat="1" applyFont="1" applyFill="1" applyBorder="1"/>
    <xf numFmtId="1" fontId="1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9" fontId="13" fillId="0" borderId="4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3</xdr:row>
      <xdr:rowOff>180975</xdr:rowOff>
    </xdr:from>
    <xdr:ext cx="184731" cy="264560"/>
    <xdr:sp macro="" textlink="">
      <xdr:nvSpPr>
        <xdr:cNvPr id="2" name="TextBox 1"/>
        <xdr:cNvSpPr txBox="1"/>
      </xdr:nvSpPr>
      <xdr:spPr>
        <a:xfrm>
          <a:off x="1181100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33"/>
  <sheetViews>
    <sheetView topLeftCell="A5" zoomScale="70" zoomScaleNormal="70" workbookViewId="0">
      <selection activeCell="E34" sqref="E34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31" customWidth="1"/>
    <col min="5" max="6" width="13.28515625" style="31" customWidth="1"/>
    <col min="7" max="7" width="10" style="2" bestFit="1" customWidth="1"/>
    <col min="8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60"/>
    </row>
    <row r="2" spans="1:12" x14ac:dyDescent="0.3">
      <c r="A2" s="120" t="s">
        <v>90</v>
      </c>
      <c r="B2" s="120"/>
      <c r="C2" s="120"/>
      <c r="D2" s="120"/>
      <c r="E2" s="120"/>
      <c r="F2" s="60"/>
    </row>
    <row r="3" spans="1:12" x14ac:dyDescent="0.3">
      <c r="A3" s="1"/>
    </row>
    <row r="4" spans="1:12" ht="56.25" customHeight="1" x14ac:dyDescent="0.3">
      <c r="A4" s="125" t="s">
        <v>34</v>
      </c>
      <c r="B4" s="126"/>
      <c r="C4" s="126"/>
      <c r="D4" s="126"/>
      <c r="E4" s="126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ht="40.5" x14ac:dyDescent="0.3">
      <c r="A9" s="122" t="s">
        <v>24</v>
      </c>
      <c r="B9" s="123" t="s">
        <v>15</v>
      </c>
      <c r="C9" s="124" t="s">
        <v>35</v>
      </c>
      <c r="D9" s="124"/>
      <c r="E9" s="124"/>
      <c r="F9" s="114" t="s">
        <v>99</v>
      </c>
    </row>
    <row r="10" spans="1:12" ht="40.5" x14ac:dyDescent="0.3">
      <c r="A10" s="122"/>
      <c r="B10" s="123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34" t="s">
        <v>10</v>
      </c>
      <c r="C11" s="42">
        <v>310</v>
      </c>
      <c r="D11" s="42">
        <v>310</v>
      </c>
      <c r="E11" s="42">
        <v>310</v>
      </c>
      <c r="F11" s="42">
        <v>310</v>
      </c>
    </row>
    <row r="12" spans="1:12" ht="25.5" x14ac:dyDescent="0.3">
      <c r="A12" s="10" t="s">
        <v>20</v>
      </c>
      <c r="B12" s="34" t="s">
        <v>2</v>
      </c>
      <c r="C12" s="27">
        <f t="shared" ref="C12" si="0">(C13-C32)/C11</f>
        <v>490.46129032258062</v>
      </c>
      <c r="D12" s="27">
        <f t="shared" ref="D12:F12" si="1">(D13-D32)/D11</f>
        <v>122.61532258064516</v>
      </c>
      <c r="E12" s="27">
        <f t="shared" si="1"/>
        <v>396.89870967741939</v>
      </c>
      <c r="F12" s="27">
        <f t="shared" si="1"/>
        <v>192.7609677419355</v>
      </c>
    </row>
    <row r="13" spans="1:12" ht="25.5" x14ac:dyDescent="0.3">
      <c r="A13" s="5" t="s">
        <v>67</v>
      </c>
      <c r="B13" s="34" t="s">
        <v>2</v>
      </c>
      <c r="C13" s="69">
        <f>C15+C29+C30+C31+C32+C33</f>
        <v>158983</v>
      </c>
      <c r="D13" s="69">
        <f>D15+D29+D30+D31+D32+D33</f>
        <v>39745.75</v>
      </c>
      <c r="E13" s="69">
        <f>E15+E29+E30+E31+E32+E33</f>
        <v>136733.6</v>
      </c>
      <c r="F13" s="69">
        <f>F15+F29+F30+F31+F32+F33</f>
        <v>73450.900000000009</v>
      </c>
    </row>
    <row r="14" spans="1:12" x14ac:dyDescent="0.3">
      <c r="A14" s="8" t="s">
        <v>0</v>
      </c>
      <c r="B14" s="35"/>
      <c r="C14" s="27">
        <v>0</v>
      </c>
      <c r="D14" s="27">
        <v>0</v>
      </c>
      <c r="E14" s="27">
        <v>0</v>
      </c>
      <c r="F14" s="27"/>
      <c r="L14" s="2" t="s">
        <v>27</v>
      </c>
    </row>
    <row r="15" spans="1:12" s="18" customFormat="1" ht="25.5" x14ac:dyDescent="0.3">
      <c r="A15" s="16" t="s">
        <v>68</v>
      </c>
      <c r="B15" s="34" t="s">
        <v>2</v>
      </c>
      <c r="C15" s="69">
        <f>C17+C20+C23+C26</f>
        <v>116484</v>
      </c>
      <c r="D15" s="69">
        <f>D17+D20+D23+D26</f>
        <v>29121</v>
      </c>
      <c r="E15" s="69">
        <f>30300.2+35689.9</f>
        <v>65990.100000000006</v>
      </c>
      <c r="F15" s="69">
        <v>31513</v>
      </c>
    </row>
    <row r="16" spans="1:12" s="18" customFormat="1" x14ac:dyDescent="0.3">
      <c r="A16" s="19" t="s">
        <v>1</v>
      </c>
      <c r="B16" s="35"/>
      <c r="C16" s="27">
        <v>0</v>
      </c>
      <c r="D16" s="27">
        <v>0</v>
      </c>
      <c r="E16" s="27">
        <v>0</v>
      </c>
      <c r="F16" s="27"/>
    </row>
    <row r="17" spans="1:6" s="18" customFormat="1" ht="25.5" x14ac:dyDescent="0.3">
      <c r="A17" s="20" t="s">
        <v>25</v>
      </c>
      <c r="B17" s="34" t="s">
        <v>2</v>
      </c>
      <c r="C17" s="42">
        <v>8605</v>
      </c>
      <c r="D17" s="42">
        <f>C17/12*3</f>
        <v>2151.25</v>
      </c>
      <c r="E17" s="42">
        <f>2401.3+3401.7</f>
        <v>5803</v>
      </c>
      <c r="F17" s="42">
        <v>3401.7</v>
      </c>
    </row>
    <row r="18" spans="1:6" s="18" customFormat="1" x14ac:dyDescent="0.3">
      <c r="A18" s="21" t="s">
        <v>4</v>
      </c>
      <c r="B18" s="36" t="s">
        <v>3</v>
      </c>
      <c r="C18" s="89">
        <v>3</v>
      </c>
      <c r="D18" s="89">
        <v>3</v>
      </c>
      <c r="E18" s="27">
        <v>4</v>
      </c>
      <c r="F18" s="27">
        <v>4</v>
      </c>
    </row>
    <row r="19" spans="1:6" s="18" customFormat="1" ht="21.95" customHeight="1" x14ac:dyDescent="0.3">
      <c r="A19" s="21" t="s">
        <v>22</v>
      </c>
      <c r="B19" s="34" t="s">
        <v>23</v>
      </c>
      <c r="C19" s="27">
        <f>C17*1000/12/C18</f>
        <v>239027.77777777778</v>
      </c>
      <c r="D19" s="27">
        <f>D17*1000/3/D18</f>
        <v>239027.77777777778</v>
      </c>
      <c r="E19" s="27">
        <f>E17*1000/3/E18</f>
        <v>483583.33333333331</v>
      </c>
      <c r="F19" s="27">
        <v>283475</v>
      </c>
    </row>
    <row r="20" spans="1:6" s="18" customFormat="1" ht="25.5" x14ac:dyDescent="0.3">
      <c r="A20" s="20" t="s">
        <v>26</v>
      </c>
      <c r="B20" s="34" t="s">
        <v>2</v>
      </c>
      <c r="C20" s="42">
        <v>89548</v>
      </c>
      <c r="D20" s="42">
        <f>C20/12*3</f>
        <v>22387</v>
      </c>
      <c r="E20" s="42">
        <f>23316.2+F20</f>
        <v>50010.2</v>
      </c>
      <c r="F20" s="42">
        <v>26694</v>
      </c>
    </row>
    <row r="21" spans="1:6" s="18" customFormat="1" x14ac:dyDescent="0.3">
      <c r="A21" s="21" t="s">
        <v>4</v>
      </c>
      <c r="B21" s="36" t="s">
        <v>3</v>
      </c>
      <c r="C21" s="89">
        <v>36.5</v>
      </c>
      <c r="D21" s="89">
        <v>36.5</v>
      </c>
      <c r="E21" s="27">
        <v>29</v>
      </c>
      <c r="F21" s="27">
        <v>29</v>
      </c>
    </row>
    <row r="22" spans="1:6" s="18" customFormat="1" ht="21.95" customHeight="1" x14ac:dyDescent="0.3">
      <c r="A22" s="21" t="s">
        <v>22</v>
      </c>
      <c r="B22" s="34" t="s">
        <v>23</v>
      </c>
      <c r="C22" s="27">
        <f>C20*1000/12/C21</f>
        <v>204447.48858447486</v>
      </c>
      <c r="D22" s="27">
        <f>D20*1000/3/D21</f>
        <v>204447.48858447486</v>
      </c>
      <c r="E22" s="27">
        <f>E20*1000/3/E21</f>
        <v>574829.88505747123</v>
      </c>
      <c r="F22" s="27">
        <v>329555.59999999998</v>
      </c>
    </row>
    <row r="23" spans="1:6" s="18" customFormat="1" ht="39" x14ac:dyDescent="0.3">
      <c r="A23" s="23" t="s">
        <v>21</v>
      </c>
      <c r="B23" s="34" t="s">
        <v>2</v>
      </c>
      <c r="C23" s="42">
        <v>4337</v>
      </c>
      <c r="D23" s="42">
        <f>C23/12*3</f>
        <v>1084.25</v>
      </c>
      <c r="E23" s="42">
        <f>1084.2+F23</f>
        <v>3299.8999999999996</v>
      </c>
      <c r="F23" s="42">
        <v>2215.6999999999998</v>
      </c>
    </row>
    <row r="24" spans="1:6" s="18" customFormat="1" x14ac:dyDescent="0.3">
      <c r="A24" s="21" t="s">
        <v>4</v>
      </c>
      <c r="B24" s="36" t="s">
        <v>3</v>
      </c>
      <c r="C24" s="89">
        <v>8.5</v>
      </c>
      <c r="D24" s="89">
        <v>8.5</v>
      </c>
      <c r="E24" s="27">
        <v>5</v>
      </c>
      <c r="F24" s="27">
        <v>3</v>
      </c>
    </row>
    <row r="25" spans="1:6" s="18" customFormat="1" ht="21.95" customHeight="1" x14ac:dyDescent="0.3">
      <c r="A25" s="21" t="s">
        <v>22</v>
      </c>
      <c r="B25" s="34" t="s">
        <v>23</v>
      </c>
      <c r="C25" s="27">
        <f>C23*1000/12/C24</f>
        <v>42519.607843137259</v>
      </c>
      <c r="D25" s="27">
        <f>D23*1000/3/D24</f>
        <v>42519.607843137259</v>
      </c>
      <c r="E25" s="27">
        <f>E23*1000/3/E24</f>
        <v>219993.33333333331</v>
      </c>
      <c r="F25" s="27">
        <v>72280</v>
      </c>
    </row>
    <row r="26" spans="1:6" s="18" customFormat="1" ht="25.5" x14ac:dyDescent="0.3">
      <c r="A26" s="20" t="s">
        <v>19</v>
      </c>
      <c r="B26" s="34" t="s">
        <v>2</v>
      </c>
      <c r="C26" s="42">
        <v>13994</v>
      </c>
      <c r="D26" s="42">
        <f>C26/12*3</f>
        <v>3498.5</v>
      </c>
      <c r="E26" s="42">
        <f>3498.5+F26</f>
        <v>6876.7</v>
      </c>
      <c r="F26" s="42">
        <v>3378.2</v>
      </c>
    </row>
    <row r="27" spans="1:6" s="18" customFormat="1" x14ac:dyDescent="0.3">
      <c r="A27" s="21" t="s">
        <v>4</v>
      </c>
      <c r="B27" s="36" t="s">
        <v>3</v>
      </c>
      <c r="C27" s="115">
        <v>20.75</v>
      </c>
      <c r="D27" s="115">
        <v>20.75</v>
      </c>
      <c r="E27" s="27">
        <v>19</v>
      </c>
      <c r="F27" s="27">
        <v>19</v>
      </c>
    </row>
    <row r="28" spans="1:6" s="18" customFormat="1" ht="21.95" customHeight="1" x14ac:dyDescent="0.3">
      <c r="A28" s="21" t="s">
        <v>22</v>
      </c>
      <c r="B28" s="34" t="s">
        <v>23</v>
      </c>
      <c r="C28" s="27">
        <f>C26/C27*1000/12</f>
        <v>56200.803212851402</v>
      </c>
      <c r="D28" s="27">
        <f>D26/D27*1000/3</f>
        <v>56200.803212851402</v>
      </c>
      <c r="E28" s="27">
        <v>61377.2</v>
      </c>
      <c r="F28" s="27">
        <v>59266.7</v>
      </c>
    </row>
    <row r="29" spans="1:6" s="18" customFormat="1" ht="25.5" x14ac:dyDescent="0.3">
      <c r="A29" s="16" t="s">
        <v>5</v>
      </c>
      <c r="B29" s="34" t="s">
        <v>2</v>
      </c>
      <c r="C29" s="89">
        <v>15229</v>
      </c>
      <c r="D29" s="89">
        <f>C29/12*3</f>
        <v>3807.25</v>
      </c>
      <c r="E29" s="97">
        <f>5341.5+F29</f>
        <v>15786.1</v>
      </c>
      <c r="F29" s="89">
        <v>10444.6</v>
      </c>
    </row>
    <row r="30" spans="1:6" s="18" customFormat="1" ht="36.75" x14ac:dyDescent="0.3">
      <c r="A30" s="24" t="s">
        <v>6</v>
      </c>
      <c r="B30" s="34" t="s">
        <v>2</v>
      </c>
      <c r="C30" s="89">
        <v>5237</v>
      </c>
      <c r="D30" s="89">
        <f>C30/12*3</f>
        <v>1309.25</v>
      </c>
      <c r="E30" s="97">
        <f>2976.8+F30+1580.1+17726</f>
        <v>40008.899999999994</v>
      </c>
      <c r="F30" s="89">
        <v>17726</v>
      </c>
    </row>
    <row r="31" spans="1:6" ht="25.5" x14ac:dyDescent="0.3">
      <c r="A31" s="12" t="s">
        <v>7</v>
      </c>
      <c r="B31" s="34" t="s">
        <v>2</v>
      </c>
      <c r="C31" s="89">
        <v>300</v>
      </c>
      <c r="D31" s="89">
        <f>C31/12*3</f>
        <v>75</v>
      </c>
      <c r="E31" s="97">
        <v>0</v>
      </c>
      <c r="F31" s="89">
        <v>0</v>
      </c>
    </row>
    <row r="32" spans="1:6" ht="36.75" x14ac:dyDescent="0.3">
      <c r="A32" s="12" t="s">
        <v>8</v>
      </c>
      <c r="B32" s="34" t="s">
        <v>2</v>
      </c>
      <c r="C32" s="88">
        <v>6940</v>
      </c>
      <c r="D32" s="89">
        <f>C32/12*3</f>
        <v>1735</v>
      </c>
      <c r="E32" s="99">
        <f>F32</f>
        <v>13695</v>
      </c>
      <c r="F32" s="88">
        <v>13695</v>
      </c>
    </row>
    <row r="33" spans="1:6" ht="52.5" customHeight="1" x14ac:dyDescent="0.3">
      <c r="A33" s="12" t="s">
        <v>9</v>
      </c>
      <c r="B33" s="34" t="s">
        <v>2</v>
      </c>
      <c r="C33" s="89">
        <v>14793</v>
      </c>
      <c r="D33" s="89">
        <f>C33/12*3</f>
        <v>3698.25</v>
      </c>
      <c r="E33" s="97">
        <v>1253.5</v>
      </c>
      <c r="F33" s="89">
        <v>72.3</v>
      </c>
    </row>
  </sheetData>
  <mergeCells count="7">
    <mergeCell ref="A1:E1"/>
    <mergeCell ref="A2:E2"/>
    <mergeCell ref="A5:E5"/>
    <mergeCell ref="A9:A10"/>
    <mergeCell ref="B9:B10"/>
    <mergeCell ref="C9:E9"/>
    <mergeCell ref="A4:E4"/>
  </mergeCells>
  <pageMargins left="0.51181102362204722" right="0.31496062992125984" top="0.74803149606299213" bottom="0.7480314960629921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6.5703125" style="31" customWidth="1"/>
    <col min="6" max="6" width="13.85546875" style="31" customWidth="1"/>
    <col min="7" max="7" width="12" style="2" customWidth="1"/>
    <col min="8" max="8" width="9.140625" style="2"/>
    <col min="9" max="9" width="12" style="2" customWidth="1"/>
    <col min="10" max="10" width="9.140625" style="2"/>
    <col min="11" max="11" width="13.28515625" style="2" customWidth="1"/>
    <col min="12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  <c r="F1" s="66"/>
    </row>
    <row r="2" spans="1:11" x14ac:dyDescent="0.3">
      <c r="A2" s="120" t="s">
        <v>90</v>
      </c>
      <c r="B2" s="120"/>
      <c r="C2" s="120"/>
      <c r="D2" s="120"/>
      <c r="E2" s="120"/>
      <c r="F2" s="66"/>
    </row>
    <row r="3" spans="1:11" x14ac:dyDescent="0.3">
      <c r="A3" s="1"/>
    </row>
    <row r="4" spans="1:11" ht="49.5" customHeight="1" x14ac:dyDescent="0.3">
      <c r="A4" s="132" t="s">
        <v>47</v>
      </c>
      <c r="B4" s="132"/>
      <c r="C4" s="132"/>
      <c r="D4" s="132"/>
      <c r="E4" s="132"/>
      <c r="F4" s="58"/>
    </row>
    <row r="5" spans="1:11" ht="15.75" customHeight="1" x14ac:dyDescent="0.3">
      <c r="A5" s="121" t="s">
        <v>13</v>
      </c>
      <c r="B5" s="121"/>
      <c r="C5" s="121"/>
      <c r="D5" s="121"/>
      <c r="E5" s="121"/>
      <c r="F5" s="59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30" t="s">
        <v>15</v>
      </c>
      <c r="C9" s="124" t="s">
        <v>38</v>
      </c>
      <c r="D9" s="124"/>
      <c r="E9" s="124"/>
      <c r="F9" s="108" t="s">
        <v>92</v>
      </c>
      <c r="K9" s="29"/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1" x14ac:dyDescent="0.3">
      <c r="A11" s="5" t="s">
        <v>18</v>
      </c>
      <c r="B11" s="6" t="s">
        <v>10</v>
      </c>
      <c r="C11" s="42">
        <v>77</v>
      </c>
      <c r="D11" s="42">
        <v>77</v>
      </c>
      <c r="E11" s="42">
        <v>76</v>
      </c>
      <c r="F11" s="42">
        <v>76</v>
      </c>
    </row>
    <row r="12" spans="1:11" ht="25.5" x14ac:dyDescent="0.3">
      <c r="A12" s="10" t="s">
        <v>20</v>
      </c>
      <c r="B12" s="6" t="s">
        <v>2</v>
      </c>
      <c r="C12" s="27">
        <f>(C13-C32)/C11</f>
        <v>783.2987012987013</v>
      </c>
      <c r="D12" s="27">
        <f t="shared" ref="D12:E12" si="0">(D13-D32)/D11</f>
        <v>679.43506493506493</v>
      </c>
      <c r="E12" s="27">
        <f t="shared" si="0"/>
        <v>733.00131578947378</v>
      </c>
      <c r="F12" s="27"/>
    </row>
    <row r="13" spans="1:11" ht="25.5" x14ac:dyDescent="0.3">
      <c r="A13" s="5" t="s">
        <v>77</v>
      </c>
      <c r="B13" s="6" t="s">
        <v>2</v>
      </c>
      <c r="C13" s="69">
        <f>C15+C29+C30+C31+C32+C33</f>
        <v>62184</v>
      </c>
      <c r="D13" s="69">
        <f>D15+D29+D30+D31+D32+D33</f>
        <v>52784</v>
      </c>
      <c r="E13" s="69">
        <f>E15+E29+E30+E31+E32+E33</f>
        <v>55708.100000000006</v>
      </c>
      <c r="F13" s="69">
        <f>F15+F29+F30+F31+F32+F33</f>
        <v>29866.300000000003</v>
      </c>
      <c r="G13" s="2" t="s">
        <v>27</v>
      </c>
    </row>
    <row r="14" spans="1:11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7"/>
      <c r="G14" s="15"/>
    </row>
    <row r="15" spans="1:11" ht="25.5" x14ac:dyDescent="0.3">
      <c r="A15" s="5" t="s">
        <v>70</v>
      </c>
      <c r="B15" s="6" t="s">
        <v>2</v>
      </c>
      <c r="C15" s="69">
        <v>45912</v>
      </c>
      <c r="D15" s="69">
        <f>D17+D20+D23+D26</f>
        <v>43208</v>
      </c>
      <c r="E15" s="69">
        <f>20505.6+F15</f>
        <v>44643.3</v>
      </c>
      <c r="F15" s="69">
        <v>24137.7</v>
      </c>
      <c r="G15" s="15"/>
    </row>
    <row r="16" spans="1:11" x14ac:dyDescent="0.3">
      <c r="A16" s="8" t="s">
        <v>1</v>
      </c>
      <c r="B16" s="9"/>
      <c r="C16" s="27">
        <v>0</v>
      </c>
      <c r="D16" s="27">
        <f t="shared" ref="D16" si="2">C16</f>
        <v>0</v>
      </c>
      <c r="E16" s="27">
        <v>0</v>
      </c>
      <c r="F16" s="27"/>
    </row>
    <row r="17" spans="1:10" s="18" customFormat="1" ht="25.5" x14ac:dyDescent="0.3">
      <c r="A17" s="20" t="s">
        <v>25</v>
      </c>
      <c r="B17" s="17" t="s">
        <v>2</v>
      </c>
      <c r="C17" s="42">
        <v>5658</v>
      </c>
      <c r="D17" s="42">
        <v>5055</v>
      </c>
      <c r="E17" s="42">
        <f>1414.5+F17</f>
        <v>3293.1</v>
      </c>
      <c r="F17" s="42">
        <v>1878.6</v>
      </c>
      <c r="G17" s="15"/>
    </row>
    <row r="18" spans="1:10" s="18" customFormat="1" x14ac:dyDescent="0.3">
      <c r="A18" s="21" t="s">
        <v>4</v>
      </c>
      <c r="B18" s="22" t="s">
        <v>3</v>
      </c>
      <c r="C18" s="89">
        <v>3</v>
      </c>
      <c r="D18" s="89">
        <v>3</v>
      </c>
      <c r="E18" s="27">
        <v>3</v>
      </c>
      <c r="F18" s="27">
        <v>3</v>
      </c>
    </row>
    <row r="19" spans="1:10" s="18" customFormat="1" ht="21.95" customHeight="1" x14ac:dyDescent="0.3">
      <c r="A19" s="21" t="s">
        <v>22</v>
      </c>
      <c r="B19" s="17" t="s">
        <v>23</v>
      </c>
      <c r="C19" s="27">
        <f>C17/C18/12*1000</f>
        <v>157166.66666666666</v>
      </c>
      <c r="D19" s="89">
        <f>C19/12*3</f>
        <v>39291.666666666664</v>
      </c>
      <c r="E19" s="27">
        <f>E17*1000/9/E18</f>
        <v>121966.66666666667</v>
      </c>
      <c r="F19" s="27">
        <v>208733.3</v>
      </c>
    </row>
    <row r="20" spans="1:10" s="18" customFormat="1" ht="25.5" x14ac:dyDescent="0.3">
      <c r="A20" s="20" t="s">
        <v>26</v>
      </c>
      <c r="B20" s="17" t="s">
        <v>2</v>
      </c>
      <c r="C20" s="42">
        <v>64532.800000000003</v>
      </c>
      <c r="D20" s="42">
        <v>30150</v>
      </c>
      <c r="E20" s="42">
        <f>16133.2+F20</f>
        <v>33885.4</v>
      </c>
      <c r="F20" s="42">
        <v>17752.2</v>
      </c>
      <c r="G20" s="15"/>
    </row>
    <row r="21" spans="1:10" x14ac:dyDescent="0.3">
      <c r="A21" s="10" t="s">
        <v>4</v>
      </c>
      <c r="B21" s="11" t="s">
        <v>3</v>
      </c>
      <c r="C21" s="89">
        <v>18.100000000000001</v>
      </c>
      <c r="D21" s="89">
        <v>18.100000000000001</v>
      </c>
      <c r="E21" s="27">
        <v>14</v>
      </c>
      <c r="F21" s="27">
        <v>16</v>
      </c>
    </row>
    <row r="22" spans="1:10" ht="21.95" customHeight="1" x14ac:dyDescent="0.3">
      <c r="A22" s="10" t="s">
        <v>22</v>
      </c>
      <c r="B22" s="6" t="s">
        <v>23</v>
      </c>
      <c r="C22" s="27">
        <f>C20/C21/12*1000</f>
        <v>297112.33885819517</v>
      </c>
      <c r="D22" s="89">
        <f>C22/12*3</f>
        <v>74278.084714548793</v>
      </c>
      <c r="E22" s="27">
        <f>E20*1000/9/E21</f>
        <v>268931.74603174604</v>
      </c>
      <c r="F22" s="27">
        <v>369837.5</v>
      </c>
    </row>
    <row r="23" spans="1:10" ht="39" x14ac:dyDescent="0.3">
      <c r="A23" s="14" t="s">
        <v>21</v>
      </c>
      <c r="B23" s="6" t="s">
        <v>2</v>
      </c>
      <c r="C23" s="42">
        <v>5084</v>
      </c>
      <c r="D23" s="42">
        <v>2798</v>
      </c>
      <c r="E23" s="42">
        <f>1271+F23</f>
        <v>3258.1</v>
      </c>
      <c r="F23" s="42">
        <v>1987.1</v>
      </c>
      <c r="G23" s="15"/>
    </row>
    <row r="24" spans="1:10" x14ac:dyDescent="0.3">
      <c r="A24" s="10" t="s">
        <v>4</v>
      </c>
      <c r="B24" s="11" t="s">
        <v>3</v>
      </c>
      <c r="C24" s="89">
        <v>4</v>
      </c>
      <c r="D24" s="89">
        <v>4</v>
      </c>
      <c r="E24" s="27">
        <v>3.5</v>
      </c>
      <c r="F24" s="27">
        <v>3.5</v>
      </c>
    </row>
    <row r="25" spans="1:10" ht="21.95" customHeight="1" x14ac:dyDescent="0.3">
      <c r="A25" s="10" t="s">
        <v>22</v>
      </c>
      <c r="B25" s="6" t="s">
        <v>23</v>
      </c>
      <c r="C25" s="27">
        <f>C23/C24/12*1000</f>
        <v>105916.66666666667</v>
      </c>
      <c r="D25" s="89">
        <f>C25/12*3</f>
        <v>26479.166666666664</v>
      </c>
      <c r="E25" s="27">
        <f>E23*1000/9/E24</f>
        <v>103431.74603174604</v>
      </c>
      <c r="F25" s="27">
        <v>189247.6</v>
      </c>
    </row>
    <row r="26" spans="1:10" ht="25.5" x14ac:dyDescent="0.3">
      <c r="A26" s="7" t="s">
        <v>19</v>
      </c>
      <c r="B26" s="6" t="s">
        <v>2</v>
      </c>
      <c r="C26" s="42">
        <v>6748</v>
      </c>
      <c r="D26" s="42">
        <v>5205</v>
      </c>
      <c r="E26" s="42">
        <f>1686.9+F26</f>
        <v>4206.7000000000007</v>
      </c>
      <c r="F26" s="42">
        <v>2519.8000000000002</v>
      </c>
      <c r="G26" s="15"/>
    </row>
    <row r="27" spans="1:10" x14ac:dyDescent="0.3">
      <c r="A27" s="10" t="s">
        <v>4</v>
      </c>
      <c r="B27" s="11" t="s">
        <v>3</v>
      </c>
      <c r="C27" s="89">
        <v>7.5</v>
      </c>
      <c r="D27" s="89">
        <v>7.5</v>
      </c>
      <c r="E27" s="27">
        <v>9.5</v>
      </c>
      <c r="F27" s="27">
        <v>8.5</v>
      </c>
    </row>
    <row r="28" spans="1:10" ht="21.95" customHeight="1" x14ac:dyDescent="0.3">
      <c r="A28" s="10" t="s">
        <v>22</v>
      </c>
      <c r="B28" s="6" t="s">
        <v>23</v>
      </c>
      <c r="C28" s="27">
        <f>C26/C27/12*1000</f>
        <v>74977.777777777781</v>
      </c>
      <c r="D28" s="89">
        <f>C28/12*3</f>
        <v>18744.444444444445</v>
      </c>
      <c r="E28" s="89">
        <f>E26*1000/9/E27</f>
        <v>49201.169590643287</v>
      </c>
      <c r="F28" s="89">
        <v>88414</v>
      </c>
    </row>
    <row r="29" spans="1:10" ht="25.5" x14ac:dyDescent="0.3">
      <c r="A29" s="5" t="s">
        <v>5</v>
      </c>
      <c r="B29" s="6" t="s">
        <v>2</v>
      </c>
      <c r="C29" s="89">
        <v>3787</v>
      </c>
      <c r="D29" s="89">
        <v>4318</v>
      </c>
      <c r="E29" s="89">
        <f>2118.7+F29</f>
        <v>3842.6</v>
      </c>
      <c r="F29" s="89">
        <v>1723.9</v>
      </c>
      <c r="G29" s="43"/>
      <c r="H29" s="43"/>
      <c r="I29" s="47"/>
      <c r="J29" s="47"/>
    </row>
    <row r="30" spans="1:10" ht="36.75" x14ac:dyDescent="0.3">
      <c r="A30" s="12" t="s">
        <v>6</v>
      </c>
      <c r="B30" s="6" t="s">
        <v>2</v>
      </c>
      <c r="C30" s="27">
        <v>3227</v>
      </c>
      <c r="D30" s="89">
        <v>2943.5</v>
      </c>
      <c r="E30" s="89">
        <f>3217.5+F30</f>
        <v>6966.3</v>
      </c>
      <c r="F30" s="89">
        <v>3748.8</v>
      </c>
      <c r="G30" s="47"/>
      <c r="H30" s="47"/>
      <c r="I30" s="47"/>
      <c r="J30" s="47"/>
    </row>
    <row r="31" spans="1:10" ht="25.5" x14ac:dyDescent="0.3">
      <c r="A31" s="12" t="s">
        <v>7</v>
      </c>
      <c r="B31" s="6" t="s">
        <v>2</v>
      </c>
      <c r="C31" s="27">
        <v>25</v>
      </c>
      <c r="D31" s="89">
        <f>C31/12*3</f>
        <v>6.25</v>
      </c>
      <c r="E31" s="89">
        <v>0</v>
      </c>
      <c r="F31" s="89">
        <v>0</v>
      </c>
    </row>
    <row r="32" spans="1:10" ht="36.75" x14ac:dyDescent="0.3">
      <c r="A32" s="12" t="s">
        <v>8</v>
      </c>
      <c r="B32" s="6" t="s">
        <v>2</v>
      </c>
      <c r="C32" s="27">
        <v>1870</v>
      </c>
      <c r="D32" s="89">
        <f>C32/12*3</f>
        <v>467.5</v>
      </c>
      <c r="E32" s="89">
        <v>0</v>
      </c>
      <c r="F32" s="89">
        <v>0</v>
      </c>
    </row>
    <row r="33" spans="1:6" ht="52.5" x14ac:dyDescent="0.3">
      <c r="A33" s="12" t="s">
        <v>9</v>
      </c>
      <c r="B33" s="6" t="s">
        <v>2</v>
      </c>
      <c r="C33" s="27">
        <v>7363</v>
      </c>
      <c r="D33" s="89">
        <f>C33/12*3</f>
        <v>1840.75</v>
      </c>
      <c r="E33" s="89">
        <v>255.9</v>
      </c>
      <c r="F33" s="89">
        <v>255.9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P30" sqref="P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3.28515625" style="31" customWidth="1"/>
    <col min="6" max="6" width="12.85546875" style="29" customWidth="1"/>
    <col min="7" max="7" width="12" style="2" customWidth="1"/>
    <col min="8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</row>
    <row r="2" spans="1:11" x14ac:dyDescent="0.3">
      <c r="A2" s="120" t="s">
        <v>107</v>
      </c>
      <c r="B2" s="120"/>
      <c r="C2" s="120"/>
      <c r="D2" s="120"/>
      <c r="E2" s="120"/>
    </row>
    <row r="3" spans="1:11" x14ac:dyDescent="0.3">
      <c r="A3" s="1"/>
    </row>
    <row r="4" spans="1:11" ht="45.75" customHeight="1" x14ac:dyDescent="0.3">
      <c r="A4" s="132" t="s">
        <v>48</v>
      </c>
      <c r="B4" s="132"/>
      <c r="C4" s="132"/>
      <c r="D4" s="132"/>
      <c r="E4" s="132"/>
    </row>
    <row r="5" spans="1:11" ht="15.75" customHeight="1" x14ac:dyDescent="0.3">
      <c r="A5" s="121" t="s">
        <v>13</v>
      </c>
      <c r="B5" s="121"/>
      <c r="C5" s="121"/>
      <c r="D5" s="121"/>
      <c r="E5" s="121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30" t="s">
        <v>15</v>
      </c>
      <c r="C9" s="124" t="s">
        <v>35</v>
      </c>
      <c r="D9" s="124"/>
      <c r="E9" s="124"/>
      <c r="F9" s="96" t="s">
        <v>102</v>
      </c>
      <c r="K9" s="43"/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26"/>
    </row>
    <row r="11" spans="1:11" x14ac:dyDescent="0.3">
      <c r="A11" s="5" t="s">
        <v>18</v>
      </c>
      <c r="B11" s="6" t="s">
        <v>10</v>
      </c>
      <c r="C11" s="42">
        <v>7</v>
      </c>
      <c r="D11" s="42">
        <v>7</v>
      </c>
      <c r="E11" s="42">
        <v>7</v>
      </c>
      <c r="F11" s="46">
        <v>7</v>
      </c>
    </row>
    <row r="12" spans="1:11" ht="25.5" x14ac:dyDescent="0.3">
      <c r="A12" s="10" t="s">
        <v>20</v>
      </c>
      <c r="B12" s="6" t="s">
        <v>2</v>
      </c>
      <c r="C12" s="27">
        <f>(C13--C32)/C11</f>
        <v>2812.7142857142858</v>
      </c>
      <c r="D12" s="27">
        <f t="shared" ref="D12:F12" si="0">(D13--D32)/D11</f>
        <v>2254.7142857142858</v>
      </c>
      <c r="E12" s="27">
        <f t="shared" si="0"/>
        <v>1587.9857142857145</v>
      </c>
      <c r="F12" s="27">
        <f t="shared" si="0"/>
        <v>844.44285714285718</v>
      </c>
    </row>
    <row r="13" spans="1:11" ht="25.5" x14ac:dyDescent="0.3">
      <c r="A13" s="5" t="s">
        <v>71</v>
      </c>
      <c r="B13" s="6" t="s">
        <v>2</v>
      </c>
      <c r="C13" s="69">
        <f>C15+C29+C30+C31+C32+C33</f>
        <v>19539</v>
      </c>
      <c r="D13" s="69">
        <f>D15+D29+D30+D32+D33</f>
        <v>15186</v>
      </c>
      <c r="E13" s="69">
        <f>E15+E29+E30+E32+E33</f>
        <v>11115.900000000001</v>
      </c>
      <c r="F13" s="69">
        <f>F15+F29+F30+F32+F33</f>
        <v>5911.1</v>
      </c>
    </row>
    <row r="14" spans="1:11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 x14ac:dyDescent="0.3">
      <c r="A15" s="5" t="s">
        <v>78</v>
      </c>
      <c r="B15" s="6" t="s">
        <v>2</v>
      </c>
      <c r="C15" s="69">
        <f t="shared" ref="C15:D15" si="2">C17+C20+C23+C26</f>
        <v>13968</v>
      </c>
      <c r="D15" s="69">
        <f t="shared" si="2"/>
        <v>10697</v>
      </c>
      <c r="E15" s="69">
        <f>4470.3+F15</f>
        <v>9661.9000000000015</v>
      </c>
      <c r="F15" s="69">
        <v>5191.6000000000004</v>
      </c>
    </row>
    <row r="16" spans="1:11" x14ac:dyDescent="0.3">
      <c r="A16" s="8" t="s">
        <v>1</v>
      </c>
      <c r="B16" s="9"/>
      <c r="C16" s="27">
        <v>0</v>
      </c>
      <c r="D16" s="27">
        <f t="shared" ref="D16" si="3">C16</f>
        <v>0</v>
      </c>
      <c r="E16" s="27">
        <v>0</v>
      </c>
      <c r="F16" s="26"/>
    </row>
    <row r="17" spans="1:11" s="18" customFormat="1" ht="25.5" x14ac:dyDescent="0.3">
      <c r="A17" s="20" t="s">
        <v>25</v>
      </c>
      <c r="B17" s="17" t="s">
        <v>2</v>
      </c>
      <c r="C17" s="27">
        <v>0</v>
      </c>
      <c r="D17" s="27">
        <v>0</v>
      </c>
      <c r="E17" s="27">
        <v>0</v>
      </c>
      <c r="F17" s="26">
        <v>925.3</v>
      </c>
    </row>
    <row r="18" spans="1:11" s="18" customFormat="1" x14ac:dyDescent="0.3">
      <c r="A18" s="21" t="s">
        <v>4</v>
      </c>
      <c r="B18" s="22" t="s">
        <v>3</v>
      </c>
      <c r="C18" s="28">
        <v>1</v>
      </c>
      <c r="D18" s="27">
        <v>1</v>
      </c>
      <c r="E18" s="27">
        <v>1</v>
      </c>
      <c r="F18" s="26">
        <v>1</v>
      </c>
    </row>
    <row r="19" spans="1:11" s="18" customFormat="1" ht="21.95" customHeight="1" x14ac:dyDescent="0.3">
      <c r="A19" s="21" t="s">
        <v>22</v>
      </c>
      <c r="B19" s="17" t="s">
        <v>23</v>
      </c>
      <c r="C19" s="27">
        <v>0</v>
      </c>
      <c r="D19" s="27">
        <v>0</v>
      </c>
      <c r="E19" s="27">
        <v>311233.3</v>
      </c>
      <c r="F19" s="26">
        <v>308433.3</v>
      </c>
    </row>
    <row r="20" spans="1:11" s="18" customFormat="1" ht="25.5" x14ac:dyDescent="0.3">
      <c r="A20" s="20" t="s">
        <v>26</v>
      </c>
      <c r="B20" s="17" t="s">
        <v>2</v>
      </c>
      <c r="C20" s="42">
        <v>5700</v>
      </c>
      <c r="D20" s="42">
        <v>6751.5</v>
      </c>
      <c r="E20" s="42">
        <f>F20</f>
        <v>1088.0999999999999</v>
      </c>
      <c r="F20" s="26">
        <v>1088.0999999999999</v>
      </c>
    </row>
    <row r="21" spans="1:11" s="18" customFormat="1" x14ac:dyDescent="0.3">
      <c r="A21" s="21" t="s">
        <v>4</v>
      </c>
      <c r="B21" s="22" t="s">
        <v>3</v>
      </c>
      <c r="C21" s="107">
        <v>3.2</v>
      </c>
      <c r="D21" s="89">
        <v>3.2</v>
      </c>
      <c r="E21" s="28">
        <v>3</v>
      </c>
      <c r="F21" s="26">
        <v>2</v>
      </c>
    </row>
    <row r="22" spans="1:11" ht="21.95" customHeight="1" x14ac:dyDescent="0.3">
      <c r="A22" s="10" t="s">
        <v>22</v>
      </c>
      <c r="B22" s="6" t="s">
        <v>23</v>
      </c>
      <c r="C22" s="27">
        <f>C20/C21/12*1000</f>
        <v>148437.5</v>
      </c>
      <c r="D22" s="27">
        <f>D20*1000/9/D21</f>
        <v>234427.08333333331</v>
      </c>
      <c r="E22" s="27">
        <f>E20*1000/3/E21</f>
        <v>120900</v>
      </c>
      <c r="F22" s="26">
        <v>181350</v>
      </c>
    </row>
    <row r="23" spans="1:11" ht="39" x14ac:dyDescent="0.3">
      <c r="A23" s="14" t="s">
        <v>21</v>
      </c>
      <c r="B23" s="6" t="s">
        <v>2</v>
      </c>
      <c r="C23" s="42">
        <v>3276</v>
      </c>
      <c r="D23" s="42">
        <v>392.5</v>
      </c>
      <c r="E23" s="42">
        <f>933.7+F23</f>
        <v>1253.3000000000002</v>
      </c>
      <c r="F23" s="26">
        <v>319.60000000000002</v>
      </c>
    </row>
    <row r="24" spans="1:11" x14ac:dyDescent="0.3">
      <c r="A24" s="10" t="s">
        <v>4</v>
      </c>
      <c r="B24" s="11" t="s">
        <v>3</v>
      </c>
      <c r="C24" s="107">
        <v>1</v>
      </c>
      <c r="D24" s="89">
        <v>1</v>
      </c>
      <c r="E24" s="28">
        <v>1</v>
      </c>
      <c r="F24" s="26">
        <v>1</v>
      </c>
    </row>
    <row r="25" spans="1:11" ht="21.95" customHeight="1" x14ac:dyDescent="0.3">
      <c r="A25" s="10" t="s">
        <v>22</v>
      </c>
      <c r="B25" s="6" t="s">
        <v>23</v>
      </c>
      <c r="C25" s="27">
        <f>C23/C24/12*1000</f>
        <v>273000</v>
      </c>
      <c r="D25" s="27">
        <f>D23*1000/9/D24</f>
        <v>43611.111111111109</v>
      </c>
      <c r="E25" s="27">
        <f>E23*1000/9/E24</f>
        <v>139255.55555555559</v>
      </c>
      <c r="F25" s="26">
        <v>106533.3</v>
      </c>
    </row>
    <row r="26" spans="1:11" ht="25.5" x14ac:dyDescent="0.3">
      <c r="A26" s="7" t="s">
        <v>19</v>
      </c>
      <c r="B26" s="6" t="s">
        <v>2</v>
      </c>
      <c r="C26" s="42">
        <v>4992</v>
      </c>
      <c r="D26" s="42">
        <v>3553</v>
      </c>
      <c r="E26" s="42">
        <f>2049.4+F26</f>
        <v>4908</v>
      </c>
      <c r="F26" s="26">
        <v>2858.6</v>
      </c>
    </row>
    <row r="27" spans="1:11" x14ac:dyDescent="0.3">
      <c r="A27" s="10" t="s">
        <v>4</v>
      </c>
      <c r="B27" s="11" t="s">
        <v>3</v>
      </c>
      <c r="C27" s="107">
        <v>9</v>
      </c>
      <c r="D27" s="107">
        <v>9</v>
      </c>
      <c r="E27" s="28">
        <v>10</v>
      </c>
      <c r="F27" s="26">
        <v>9</v>
      </c>
    </row>
    <row r="28" spans="1:11" ht="21.95" customHeight="1" x14ac:dyDescent="0.3">
      <c r="A28" s="10" t="s">
        <v>22</v>
      </c>
      <c r="B28" s="6" t="s">
        <v>23</v>
      </c>
      <c r="C28" s="27">
        <f>C26/C27/12*1000</f>
        <v>46222.222222222219</v>
      </c>
      <c r="D28" s="27">
        <f>D26*1000/9/D27</f>
        <v>43864.197530864192</v>
      </c>
      <c r="E28" s="27">
        <f>E26*1000/3/E27</f>
        <v>163600</v>
      </c>
      <c r="F28" s="26">
        <v>105874.1</v>
      </c>
      <c r="G28" s="43"/>
      <c r="H28" s="43"/>
      <c r="I28" s="47"/>
      <c r="J28" s="47"/>
    </row>
    <row r="29" spans="1:11" ht="25.5" x14ac:dyDescent="0.3">
      <c r="A29" s="5" t="s">
        <v>5</v>
      </c>
      <c r="B29" s="6" t="s">
        <v>2</v>
      </c>
      <c r="C29" s="89">
        <v>1500</v>
      </c>
      <c r="D29" s="89">
        <v>1118</v>
      </c>
      <c r="E29" s="89">
        <f>455.8+F29</f>
        <v>996.7</v>
      </c>
      <c r="F29" s="26">
        <v>540.9</v>
      </c>
      <c r="G29" s="43"/>
      <c r="H29" s="43"/>
      <c r="I29" s="47"/>
      <c r="J29" s="47"/>
      <c r="K29" s="43"/>
    </row>
    <row r="30" spans="1:11" ht="36.75" x14ac:dyDescent="0.3">
      <c r="A30" s="12" t="s">
        <v>6</v>
      </c>
      <c r="B30" s="6" t="s">
        <v>2</v>
      </c>
      <c r="C30" s="89">
        <v>2300</v>
      </c>
      <c r="D30" s="89">
        <f>209.2+E30</f>
        <v>659.5</v>
      </c>
      <c r="E30" s="89">
        <f>278.7+F30</f>
        <v>450.29999999999995</v>
      </c>
      <c r="F30" s="26">
        <v>171.6</v>
      </c>
      <c r="G30" s="47">
        <v>171.6</v>
      </c>
      <c r="H30" s="47"/>
      <c r="I30" s="47"/>
      <c r="J30" s="47"/>
      <c r="K30" s="43"/>
    </row>
    <row r="31" spans="1:11" ht="25.5" x14ac:dyDescent="0.3">
      <c r="A31" s="12" t="s">
        <v>7</v>
      </c>
      <c r="B31" s="6" t="s">
        <v>2</v>
      </c>
      <c r="C31" s="27">
        <v>0</v>
      </c>
      <c r="D31" s="89">
        <v>0</v>
      </c>
      <c r="E31" s="89">
        <v>0</v>
      </c>
      <c r="F31" s="44"/>
      <c r="G31" s="63"/>
      <c r="K31" s="62"/>
    </row>
    <row r="32" spans="1:11" ht="33.75" customHeight="1" x14ac:dyDescent="0.3">
      <c r="A32" s="12" t="s">
        <v>8</v>
      </c>
      <c r="B32" s="6" t="s">
        <v>2</v>
      </c>
      <c r="C32" s="27">
        <v>150</v>
      </c>
      <c r="D32" s="89">
        <v>597</v>
      </c>
      <c r="E32" s="89">
        <v>0</v>
      </c>
      <c r="F32" s="20">
        <v>0</v>
      </c>
      <c r="K32" s="29"/>
    </row>
    <row r="33" spans="1:7" ht="52.5" customHeight="1" x14ac:dyDescent="0.3">
      <c r="A33" s="12" t="s">
        <v>9</v>
      </c>
      <c r="B33" s="6" t="s">
        <v>2</v>
      </c>
      <c r="C33" s="27">
        <v>1621</v>
      </c>
      <c r="D33" s="89">
        <v>2114.5</v>
      </c>
      <c r="E33" s="89">
        <v>7</v>
      </c>
      <c r="F33" s="20">
        <v>7</v>
      </c>
      <c r="G33" s="2">
        <v>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60" zoomScaleNormal="60" workbookViewId="0">
      <selection activeCell="G30" sqref="G30:G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5.42578125" style="31" customWidth="1"/>
    <col min="6" max="6" width="13.85546875" style="29" customWidth="1"/>
    <col min="7" max="7" width="12" style="2" customWidth="1"/>
    <col min="8" max="8" width="14.42578125" style="2" customWidth="1"/>
    <col min="9" max="9" width="9.42578125" style="2" bestFit="1" customWidth="1"/>
    <col min="10" max="10" width="9.140625" style="2"/>
    <col min="11" max="11" width="12.7109375" style="2" customWidth="1"/>
    <col min="12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</row>
    <row r="2" spans="1:11" x14ac:dyDescent="0.3">
      <c r="A2" s="120" t="s">
        <v>90</v>
      </c>
      <c r="B2" s="120"/>
      <c r="C2" s="120"/>
      <c r="D2" s="120"/>
      <c r="E2" s="120"/>
    </row>
    <row r="3" spans="1:11" x14ac:dyDescent="0.3">
      <c r="A3" s="1"/>
    </row>
    <row r="4" spans="1:11" ht="48" customHeight="1" x14ac:dyDescent="0.3">
      <c r="A4" s="132" t="s">
        <v>49</v>
      </c>
      <c r="B4" s="132"/>
      <c r="C4" s="132"/>
      <c r="D4" s="132"/>
      <c r="E4" s="132"/>
    </row>
    <row r="5" spans="1:11" ht="15.75" customHeight="1" x14ac:dyDescent="0.3">
      <c r="A5" s="121" t="s">
        <v>13</v>
      </c>
      <c r="B5" s="121"/>
      <c r="C5" s="121"/>
      <c r="D5" s="121"/>
      <c r="E5" s="121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30" t="s">
        <v>15</v>
      </c>
      <c r="C9" s="124" t="s">
        <v>35</v>
      </c>
      <c r="D9" s="124"/>
      <c r="E9" s="124"/>
      <c r="F9" s="26" t="s">
        <v>108</v>
      </c>
      <c r="K9" s="29"/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26"/>
    </row>
    <row r="11" spans="1:11" x14ac:dyDescent="0.3">
      <c r="A11" s="5" t="s">
        <v>18</v>
      </c>
      <c r="B11" s="6" t="s">
        <v>10</v>
      </c>
      <c r="C11" s="42">
        <v>112</v>
      </c>
      <c r="D11" s="42">
        <v>112</v>
      </c>
      <c r="E11" s="42">
        <v>112</v>
      </c>
      <c r="F11" s="42">
        <v>112</v>
      </c>
    </row>
    <row r="12" spans="1:11" ht="25.5" x14ac:dyDescent="0.3">
      <c r="A12" s="10" t="s">
        <v>20</v>
      </c>
      <c r="B12" s="6" t="s">
        <v>2</v>
      </c>
      <c r="C12" s="27">
        <f>(C13-C32)/C11</f>
        <v>600.42857142857144</v>
      </c>
      <c r="D12" s="27">
        <f t="shared" ref="D12:E12" si="0">(D13-D32)/D11</f>
        <v>210.98883928571428</v>
      </c>
      <c r="E12" s="27">
        <f t="shared" si="0"/>
        <v>415.6750000000003</v>
      </c>
      <c r="F12" s="26"/>
    </row>
    <row r="13" spans="1:11" ht="25.5" x14ac:dyDescent="0.3">
      <c r="A13" s="5" t="s">
        <v>71</v>
      </c>
      <c r="B13" s="6" t="s">
        <v>2</v>
      </c>
      <c r="C13" s="69">
        <f>C15+C29+C30+C31+C32+C33</f>
        <v>318262</v>
      </c>
      <c r="D13" s="69">
        <f>D15+D29+D30+D31+D32+D33</f>
        <v>249422.75</v>
      </c>
      <c r="E13" s="69">
        <f>E15+E29+E30+E31+E32+E33</f>
        <v>272347.60000000003</v>
      </c>
      <c r="F13" s="69">
        <f>F15+F29+F30+F31+F32+F33</f>
        <v>24134.300000000003</v>
      </c>
    </row>
    <row r="14" spans="1:11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 x14ac:dyDescent="0.3">
      <c r="A15" s="5" t="s">
        <v>75</v>
      </c>
      <c r="B15" s="6" t="s">
        <v>2</v>
      </c>
      <c r="C15" s="69">
        <v>45216</v>
      </c>
      <c r="D15" s="69">
        <f t="shared" ref="D15" si="2">D17+D20+D23+D26</f>
        <v>18122.75</v>
      </c>
      <c r="E15" s="69">
        <f>18122.9+F15</f>
        <v>39344.9</v>
      </c>
      <c r="F15" s="42">
        <v>21222</v>
      </c>
      <c r="G15" s="18"/>
      <c r="I15" s="15"/>
    </row>
    <row r="16" spans="1:11" x14ac:dyDescent="0.3">
      <c r="A16" s="8" t="s">
        <v>1</v>
      </c>
      <c r="B16" s="9"/>
      <c r="C16" s="27"/>
      <c r="D16" s="27"/>
      <c r="E16" s="27"/>
      <c r="F16" s="26"/>
    </row>
    <row r="17" spans="1:10" s="18" customFormat="1" ht="25.5" x14ac:dyDescent="0.3">
      <c r="A17" s="20" t="s">
        <v>25</v>
      </c>
      <c r="B17" s="17" t="s">
        <v>2</v>
      </c>
      <c r="C17" s="42">
        <v>6408</v>
      </c>
      <c r="D17" s="42">
        <f>C17/12*3</f>
        <v>1602</v>
      </c>
      <c r="E17" s="42">
        <f>1602+F17</f>
        <v>3227.9</v>
      </c>
      <c r="F17" s="26">
        <v>1625.9</v>
      </c>
    </row>
    <row r="18" spans="1:10" s="18" customFormat="1" x14ac:dyDescent="0.3">
      <c r="A18" s="21" t="s">
        <v>4</v>
      </c>
      <c r="B18" s="22" t="s">
        <v>3</v>
      </c>
      <c r="C18" s="89">
        <v>3</v>
      </c>
      <c r="D18" s="89">
        <v>3</v>
      </c>
      <c r="E18" s="27">
        <v>3</v>
      </c>
      <c r="F18" s="26">
        <v>3</v>
      </c>
    </row>
    <row r="19" spans="1:10" s="18" customFormat="1" ht="21.95" customHeight="1" x14ac:dyDescent="0.3">
      <c r="A19" s="21" t="s">
        <v>22</v>
      </c>
      <c r="B19" s="17" t="s">
        <v>23</v>
      </c>
      <c r="C19" s="27">
        <f>C17/C18/12*1000</f>
        <v>178000</v>
      </c>
      <c r="D19" s="27">
        <f>D17*1000/9/D18</f>
        <v>59333.333333333336</v>
      </c>
      <c r="E19" s="27">
        <f>E17*1000/3/E18</f>
        <v>358655.55555555556</v>
      </c>
      <c r="F19" s="26">
        <v>180655.6</v>
      </c>
    </row>
    <row r="20" spans="1:10" s="18" customFormat="1" ht="25.5" x14ac:dyDescent="0.3">
      <c r="A20" s="20" t="s">
        <v>26</v>
      </c>
      <c r="B20" s="17" t="s">
        <v>2</v>
      </c>
      <c r="C20" s="42">
        <v>54000</v>
      </c>
      <c r="D20" s="42">
        <f>C20/12*3</f>
        <v>13500</v>
      </c>
      <c r="E20" s="42">
        <f>13500.1+F20</f>
        <v>29645.300000000003</v>
      </c>
      <c r="F20" s="26">
        <v>16145.2</v>
      </c>
    </row>
    <row r="21" spans="1:10" s="18" customFormat="1" x14ac:dyDescent="0.3">
      <c r="A21" s="21" t="s">
        <v>4</v>
      </c>
      <c r="B21" s="22" t="s">
        <v>3</v>
      </c>
      <c r="C21" s="89">
        <v>20.2</v>
      </c>
      <c r="D21" s="89">
        <v>20.2</v>
      </c>
      <c r="E21" s="27">
        <v>21</v>
      </c>
      <c r="F21" s="26">
        <v>17</v>
      </c>
    </row>
    <row r="22" spans="1:10" ht="21.95" customHeight="1" x14ac:dyDescent="0.3">
      <c r="A22" s="10" t="s">
        <v>22</v>
      </c>
      <c r="B22" s="6" t="s">
        <v>23</v>
      </c>
      <c r="C22" s="27">
        <f>C20/C21/12*1000</f>
        <v>222772.27722772275</v>
      </c>
      <c r="D22" s="27">
        <f>D20*1000/9/D21</f>
        <v>74257.425742574254</v>
      </c>
      <c r="E22" s="27">
        <f>E20*1000/3/E21</f>
        <v>470560.31746031751</v>
      </c>
      <c r="F22" s="26">
        <v>316572.5</v>
      </c>
    </row>
    <row r="23" spans="1:10" ht="39" x14ac:dyDescent="0.3">
      <c r="A23" s="14" t="s">
        <v>21</v>
      </c>
      <c r="B23" s="6" t="s">
        <v>2</v>
      </c>
      <c r="C23" s="42">
        <v>3683</v>
      </c>
      <c r="D23" s="42">
        <f>C23/12*3</f>
        <v>920.75</v>
      </c>
      <c r="E23" s="42">
        <f>920.7+F23</f>
        <v>1871.3000000000002</v>
      </c>
      <c r="F23" s="26">
        <v>950.6</v>
      </c>
      <c r="G23" s="18"/>
    </row>
    <row r="24" spans="1:10" x14ac:dyDescent="0.3">
      <c r="A24" s="10" t="s">
        <v>4</v>
      </c>
      <c r="B24" s="11" t="s">
        <v>3</v>
      </c>
      <c r="C24" s="89">
        <v>3</v>
      </c>
      <c r="D24" s="89">
        <v>3</v>
      </c>
      <c r="E24" s="27">
        <v>2</v>
      </c>
      <c r="F24" s="26">
        <v>3</v>
      </c>
    </row>
    <row r="25" spans="1:10" ht="21.95" customHeight="1" x14ac:dyDescent="0.3">
      <c r="A25" s="10" t="s">
        <v>22</v>
      </c>
      <c r="B25" s="6" t="s">
        <v>23</v>
      </c>
      <c r="C25" s="27">
        <f>C23/C24/12*1000</f>
        <v>102305.55555555556</v>
      </c>
      <c r="D25" s="27">
        <f>D23*1000/9/D24</f>
        <v>34101.851851851854</v>
      </c>
      <c r="E25" s="27">
        <f>E23*1000/3/E24</f>
        <v>311883.33333333337</v>
      </c>
      <c r="F25" s="26">
        <v>105622.2</v>
      </c>
    </row>
    <row r="26" spans="1:10" ht="25.5" x14ac:dyDescent="0.3">
      <c r="A26" s="7" t="s">
        <v>19</v>
      </c>
      <c r="B26" s="6" t="s">
        <v>2</v>
      </c>
      <c r="C26" s="42">
        <v>8400</v>
      </c>
      <c r="D26" s="42">
        <f>C26/12*3</f>
        <v>2100</v>
      </c>
      <c r="E26" s="42">
        <f>2100.1+F26</f>
        <v>4600.3999999999996</v>
      </c>
      <c r="F26" s="26">
        <v>2500.3000000000002</v>
      </c>
      <c r="G26" s="18"/>
    </row>
    <row r="27" spans="1:10" x14ac:dyDescent="0.3">
      <c r="A27" s="10" t="s">
        <v>4</v>
      </c>
      <c r="B27" s="11" t="s">
        <v>3</v>
      </c>
      <c r="C27" s="115">
        <v>10.75</v>
      </c>
      <c r="D27" s="115">
        <v>10.75</v>
      </c>
      <c r="E27" s="27">
        <v>11</v>
      </c>
      <c r="F27" s="26">
        <v>10</v>
      </c>
    </row>
    <row r="28" spans="1:10" ht="21.95" customHeight="1" x14ac:dyDescent="0.3">
      <c r="A28" s="10" t="s">
        <v>22</v>
      </c>
      <c r="B28" s="6" t="s">
        <v>23</v>
      </c>
      <c r="C28" s="27">
        <f>C26/C27/12*1000</f>
        <v>65116.279069767443</v>
      </c>
      <c r="D28" s="27">
        <f>D26*1000/9/D27</f>
        <v>21705.426356589149</v>
      </c>
      <c r="E28" s="27">
        <f>E26*1000/3/E27</f>
        <v>139406.06060606061</v>
      </c>
      <c r="F28" s="26">
        <v>83343.3</v>
      </c>
    </row>
    <row r="29" spans="1:10" ht="25.5" x14ac:dyDescent="0.3">
      <c r="A29" s="5" t="s">
        <v>5</v>
      </c>
      <c r="B29" s="6" t="s">
        <v>2</v>
      </c>
      <c r="C29" s="89">
        <v>3887</v>
      </c>
      <c r="D29" s="89">
        <f>C29/12*3</f>
        <v>971.75</v>
      </c>
      <c r="E29" s="89">
        <f>1857.3+F29</f>
        <v>4088.5</v>
      </c>
      <c r="F29" s="55">
        <v>2231.1999999999998</v>
      </c>
      <c r="G29" s="80"/>
      <c r="H29" s="80"/>
      <c r="I29" s="80"/>
      <c r="J29" s="81"/>
    </row>
    <row r="30" spans="1:10" ht="36.75" x14ac:dyDescent="0.3">
      <c r="A30" s="12" t="s">
        <v>6</v>
      </c>
      <c r="B30" s="6" t="s">
        <v>2</v>
      </c>
      <c r="C30" s="89">
        <v>4059</v>
      </c>
      <c r="D30" s="89">
        <f>C30/12*3</f>
        <v>1014.75</v>
      </c>
      <c r="E30" s="89">
        <f>2441.1+F30</f>
        <v>2831.7999999999997</v>
      </c>
      <c r="F30" s="98">
        <v>390.7</v>
      </c>
      <c r="G30" s="81"/>
      <c r="H30" s="81"/>
      <c r="I30" s="80"/>
      <c r="J30" s="81"/>
    </row>
    <row r="31" spans="1:10" ht="25.5" x14ac:dyDescent="0.3">
      <c r="A31" s="12" t="s">
        <v>7</v>
      </c>
      <c r="B31" s="6" t="s">
        <v>2</v>
      </c>
      <c r="C31" s="89">
        <v>5031</v>
      </c>
      <c r="D31" s="89">
        <f>C31/12*3</f>
        <v>1257.75</v>
      </c>
      <c r="E31" s="89">
        <v>0</v>
      </c>
      <c r="F31" s="26">
        <v>0</v>
      </c>
      <c r="G31" s="82"/>
      <c r="H31" s="82"/>
      <c r="I31" s="82"/>
      <c r="J31" s="83"/>
    </row>
    <row r="32" spans="1:10" ht="36.75" x14ac:dyDescent="0.3">
      <c r="A32" s="12" t="s">
        <v>8</v>
      </c>
      <c r="B32" s="6" t="s">
        <v>2</v>
      </c>
      <c r="C32" s="89">
        <v>251014</v>
      </c>
      <c r="D32" s="89">
        <v>225792</v>
      </c>
      <c r="E32" s="89">
        <v>225792</v>
      </c>
      <c r="F32" s="20">
        <v>0</v>
      </c>
      <c r="G32" s="83"/>
      <c r="H32" s="83"/>
      <c r="I32" s="83"/>
      <c r="J32" s="83"/>
    </row>
    <row r="33" spans="1:10" ht="52.5" customHeight="1" x14ac:dyDescent="0.3">
      <c r="A33" s="12" t="s">
        <v>9</v>
      </c>
      <c r="B33" s="6" t="s">
        <v>2</v>
      </c>
      <c r="C33" s="89">
        <v>9055</v>
      </c>
      <c r="D33" s="89">
        <f>C33/12*3</f>
        <v>2263.75</v>
      </c>
      <c r="E33" s="89">
        <v>290.39999999999998</v>
      </c>
      <c r="F33" s="20">
        <v>290.39999999999998</v>
      </c>
      <c r="G33" s="83"/>
      <c r="H33" s="83"/>
      <c r="I33" s="83"/>
      <c r="J33" s="8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80" zoomScaleNormal="80" workbookViewId="0">
      <selection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3" width="14.85546875" style="31" customWidth="1"/>
    <col min="4" max="4" width="12" style="31" customWidth="1"/>
    <col min="5" max="5" width="14.140625" style="31" customWidth="1"/>
    <col min="6" max="6" width="13.85546875" style="29" customWidth="1"/>
    <col min="7" max="7" width="12" style="29" customWidth="1"/>
    <col min="8" max="8" width="13.140625" style="2" customWidth="1"/>
    <col min="9" max="9" width="9.140625" style="2"/>
    <col min="10" max="10" width="10.5703125" style="2" bestFit="1" customWidth="1"/>
    <col min="11" max="11" width="10.28515625" style="2" customWidth="1"/>
    <col min="12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</row>
    <row r="2" spans="1:11" x14ac:dyDescent="0.3">
      <c r="A2" s="120" t="s">
        <v>90</v>
      </c>
      <c r="B2" s="120"/>
      <c r="C2" s="120"/>
      <c r="D2" s="120"/>
      <c r="E2" s="120"/>
    </row>
    <row r="3" spans="1:11" x14ac:dyDescent="0.3">
      <c r="A3" s="1"/>
    </row>
    <row r="4" spans="1:11" ht="48.75" customHeight="1" x14ac:dyDescent="0.3">
      <c r="A4" s="132" t="s">
        <v>50</v>
      </c>
      <c r="B4" s="132"/>
      <c r="C4" s="132"/>
      <c r="D4" s="132"/>
      <c r="E4" s="132"/>
    </row>
    <row r="5" spans="1:11" ht="15.75" customHeight="1" x14ac:dyDescent="0.3">
      <c r="A5" s="121" t="s">
        <v>13</v>
      </c>
      <c r="B5" s="121"/>
      <c r="C5" s="121"/>
      <c r="D5" s="121"/>
      <c r="E5" s="121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23" t="s">
        <v>15</v>
      </c>
      <c r="C9" s="124" t="s">
        <v>38</v>
      </c>
      <c r="D9" s="124"/>
      <c r="E9" s="124"/>
      <c r="F9" s="95" t="s">
        <v>94</v>
      </c>
      <c r="J9" s="15"/>
      <c r="K9" s="29"/>
    </row>
    <row r="10" spans="1:11" ht="40.5" x14ac:dyDescent="0.3">
      <c r="A10" s="122"/>
      <c r="B10" s="123"/>
      <c r="C10" s="32" t="s">
        <v>16</v>
      </c>
      <c r="D10" s="32" t="s">
        <v>17</v>
      </c>
      <c r="E10" s="33" t="s">
        <v>11</v>
      </c>
      <c r="F10" s="26"/>
    </row>
    <row r="11" spans="1:11" x14ac:dyDescent="0.3">
      <c r="A11" s="5" t="s">
        <v>18</v>
      </c>
      <c r="B11" s="34" t="s">
        <v>10</v>
      </c>
      <c r="C11" s="42">
        <v>81</v>
      </c>
      <c r="D11" s="42">
        <v>81</v>
      </c>
      <c r="E11" s="42">
        <v>81</v>
      </c>
      <c r="F11" s="46"/>
    </row>
    <row r="12" spans="1:11" ht="25.5" x14ac:dyDescent="0.3">
      <c r="A12" s="10" t="s">
        <v>20</v>
      </c>
      <c r="B12" s="34" t="s">
        <v>2</v>
      </c>
      <c r="C12" s="27">
        <f>(C13-C32)/C11</f>
        <v>1037.6913580246915</v>
      </c>
      <c r="D12" s="27">
        <f t="shared" ref="D12:E12" si="0">(D13-D32)/D11</f>
        <v>259.42283950617286</v>
      </c>
      <c r="E12" s="27">
        <f t="shared" si="0"/>
        <v>821.75308641975312</v>
      </c>
      <c r="F12" s="26"/>
    </row>
    <row r="13" spans="1:11" ht="25.5" x14ac:dyDescent="0.3">
      <c r="A13" s="5" t="s">
        <v>77</v>
      </c>
      <c r="B13" s="34" t="s">
        <v>2</v>
      </c>
      <c r="C13" s="69">
        <f>C15+C29+C30+C31+C32+C33</f>
        <v>86488</v>
      </c>
      <c r="D13" s="69">
        <f>D15+D29+D30+D31+D32+D33</f>
        <v>21622</v>
      </c>
      <c r="E13" s="69">
        <f>E15+E29+E30+E31+E32+E33</f>
        <v>66562</v>
      </c>
      <c r="F13" s="69">
        <f>F15+F29+F30+F31+F32+F33</f>
        <v>32076.500000000004</v>
      </c>
    </row>
    <row r="14" spans="1:11" x14ac:dyDescent="0.3">
      <c r="A14" s="8" t="s">
        <v>0</v>
      </c>
      <c r="B14" s="35"/>
      <c r="C14" s="27"/>
      <c r="D14" s="27">
        <f t="shared" ref="D14" si="1">C14</f>
        <v>0</v>
      </c>
      <c r="E14" s="27"/>
      <c r="F14" s="26"/>
      <c r="G14" s="31"/>
    </row>
    <row r="15" spans="1:11" ht="25.5" x14ac:dyDescent="0.3">
      <c r="A15" s="5" t="s">
        <v>89</v>
      </c>
      <c r="B15" s="34" t="s">
        <v>2</v>
      </c>
      <c r="C15" s="69">
        <f>C17+C20+C23+C26</f>
        <v>64992</v>
      </c>
      <c r="D15" s="69">
        <f t="shared" ref="D15" si="2">D17+D20+D23+D26</f>
        <v>16248</v>
      </c>
      <c r="E15" s="69">
        <f>27957.7+F15</f>
        <v>56748.600000000006</v>
      </c>
      <c r="F15" s="69">
        <v>28790.9</v>
      </c>
      <c r="H15" s="39"/>
    </row>
    <row r="16" spans="1:11" x14ac:dyDescent="0.3">
      <c r="A16" s="8" t="s">
        <v>1</v>
      </c>
      <c r="B16" s="35"/>
      <c r="C16" s="27"/>
      <c r="D16" s="27"/>
      <c r="E16" s="27"/>
      <c r="F16" s="26"/>
    </row>
    <row r="17" spans="1:11" s="18" customFormat="1" ht="25.5" x14ac:dyDescent="0.3">
      <c r="A17" s="20" t="s">
        <v>25</v>
      </c>
      <c r="B17" s="34" t="s">
        <v>2</v>
      </c>
      <c r="C17" s="42">
        <v>4415</v>
      </c>
      <c r="D17" s="42">
        <f>C17/12*3</f>
        <v>1103.75</v>
      </c>
      <c r="E17" s="42">
        <f>1853.9+F17</f>
        <v>3867.8</v>
      </c>
      <c r="F17" s="26">
        <v>2013.9</v>
      </c>
      <c r="G17" s="29"/>
    </row>
    <row r="18" spans="1:11" s="18" customFormat="1" x14ac:dyDescent="0.3">
      <c r="A18" s="21" t="s">
        <v>4</v>
      </c>
      <c r="B18" s="36" t="s">
        <v>3</v>
      </c>
      <c r="C18" s="89">
        <v>3</v>
      </c>
      <c r="D18" s="89">
        <v>3</v>
      </c>
      <c r="E18" s="27">
        <v>2</v>
      </c>
      <c r="F18" s="26">
        <v>2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122638.88888888891</v>
      </c>
      <c r="D19" s="27">
        <f>D17*1000/9/D18</f>
        <v>40879.629629629628</v>
      </c>
      <c r="E19" s="27">
        <f>E17*1000/3/E18</f>
        <v>644633.33333333337</v>
      </c>
      <c r="F19" s="26">
        <v>335650</v>
      </c>
      <c r="G19" s="29"/>
    </row>
    <row r="20" spans="1:11" s="18" customFormat="1" ht="25.5" x14ac:dyDescent="0.3">
      <c r="A20" s="20" t="s">
        <v>26</v>
      </c>
      <c r="B20" s="34" t="s">
        <v>2</v>
      </c>
      <c r="C20" s="42">
        <v>42004</v>
      </c>
      <c r="D20" s="42">
        <f>C20/12*3</f>
        <v>10501</v>
      </c>
      <c r="E20" s="42">
        <f>21210.4+F20</f>
        <v>41167</v>
      </c>
      <c r="F20" s="26">
        <v>19956.599999999999</v>
      </c>
      <c r="G20" s="29"/>
    </row>
    <row r="21" spans="1:11" x14ac:dyDescent="0.3">
      <c r="A21" s="10" t="s">
        <v>4</v>
      </c>
      <c r="B21" s="36" t="s">
        <v>3</v>
      </c>
      <c r="C21" s="89">
        <v>28.8</v>
      </c>
      <c r="D21" s="89">
        <v>28.8</v>
      </c>
      <c r="E21" s="27">
        <v>22</v>
      </c>
      <c r="F21" s="26">
        <v>23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121539.35185185185</v>
      </c>
      <c r="D22" s="27">
        <f>D20*1000/9/D21</f>
        <v>40513.117283950618</v>
      </c>
      <c r="E22" s="27">
        <f>E20*1000/3/E21</f>
        <v>623742.42424242431</v>
      </c>
      <c r="F22" s="26">
        <v>289226.09999999998</v>
      </c>
    </row>
    <row r="23" spans="1:11" ht="39" x14ac:dyDescent="0.3">
      <c r="A23" s="14" t="s">
        <v>21</v>
      </c>
      <c r="B23" s="34" t="s">
        <v>2</v>
      </c>
      <c r="C23" s="42">
        <v>8908</v>
      </c>
      <c r="D23" s="42">
        <f>C23/12*3</f>
        <v>2227</v>
      </c>
      <c r="E23" s="42">
        <f>2227.1+F23</f>
        <v>5344.2</v>
      </c>
      <c r="F23" s="26">
        <v>3117.1</v>
      </c>
    </row>
    <row r="24" spans="1:11" x14ac:dyDescent="0.3">
      <c r="A24" s="10" t="s">
        <v>4</v>
      </c>
      <c r="B24" s="36" t="s">
        <v>3</v>
      </c>
      <c r="C24" s="89">
        <v>4</v>
      </c>
      <c r="D24" s="89">
        <v>4</v>
      </c>
      <c r="E24" s="27">
        <v>4</v>
      </c>
      <c r="F24" s="26">
        <v>5</v>
      </c>
      <c r="H24" s="56"/>
    </row>
    <row r="25" spans="1:11" ht="21.95" customHeight="1" x14ac:dyDescent="0.3">
      <c r="A25" s="10" t="s">
        <v>22</v>
      </c>
      <c r="B25" s="34" t="s">
        <v>23</v>
      </c>
      <c r="C25" s="27">
        <f>C23/C24/12*1000</f>
        <v>185583.33333333334</v>
      </c>
      <c r="D25" s="27">
        <f>D23*1000/9/D24</f>
        <v>61861.111111111109</v>
      </c>
      <c r="E25" s="27">
        <f>E23*1000/3/E24</f>
        <v>445350</v>
      </c>
      <c r="F25" s="26">
        <v>207806.7</v>
      </c>
    </row>
    <row r="26" spans="1:11" ht="25.5" x14ac:dyDescent="0.3">
      <c r="A26" s="7" t="s">
        <v>19</v>
      </c>
      <c r="B26" s="34" t="s">
        <v>2</v>
      </c>
      <c r="C26" s="42">
        <v>9665</v>
      </c>
      <c r="D26" s="42">
        <f>C26/12*3</f>
        <v>2416.25</v>
      </c>
      <c r="E26" s="42">
        <f>2666.3+F26</f>
        <v>6369.6</v>
      </c>
      <c r="F26" s="26">
        <v>3703.3</v>
      </c>
    </row>
    <row r="27" spans="1:11" x14ac:dyDescent="0.3">
      <c r="A27" s="10" t="s">
        <v>4</v>
      </c>
      <c r="B27" s="36" t="s">
        <v>3</v>
      </c>
      <c r="C27" s="89">
        <v>11.5</v>
      </c>
      <c r="D27" s="89">
        <v>11.5</v>
      </c>
      <c r="E27" s="27">
        <v>18</v>
      </c>
      <c r="F27" s="26">
        <v>16</v>
      </c>
    </row>
    <row r="28" spans="1:11" ht="21.95" customHeight="1" x14ac:dyDescent="0.3">
      <c r="A28" s="10" t="s">
        <v>22</v>
      </c>
      <c r="B28" s="34" t="s">
        <v>23</v>
      </c>
      <c r="C28" s="27">
        <f>C26/C27/12*1000</f>
        <v>70036.231884057968</v>
      </c>
      <c r="D28" s="27">
        <f>D26*1000/9/D27</f>
        <v>23345.410628019326</v>
      </c>
      <c r="E28" s="27">
        <f>E26*1000/3/E27</f>
        <v>117955.55555555556</v>
      </c>
      <c r="F28" s="26">
        <v>77152.100000000006</v>
      </c>
    </row>
    <row r="29" spans="1:11" ht="25.5" x14ac:dyDescent="0.3">
      <c r="A29" s="5" t="s">
        <v>5</v>
      </c>
      <c r="B29" s="34" t="s">
        <v>2</v>
      </c>
      <c r="C29" s="89">
        <v>5732</v>
      </c>
      <c r="D29" s="89">
        <f>C29/12*3</f>
        <v>1433</v>
      </c>
      <c r="E29" s="88">
        <f>2880.1+F29</f>
        <v>5843.7999999999993</v>
      </c>
      <c r="F29" s="90">
        <v>2963.7</v>
      </c>
      <c r="G29" s="43"/>
      <c r="H29" s="43"/>
      <c r="I29" s="47"/>
      <c r="J29" s="47"/>
      <c r="K29" s="43"/>
    </row>
    <row r="30" spans="1:11" ht="36.75" x14ac:dyDescent="0.3">
      <c r="A30" s="12" t="s">
        <v>6</v>
      </c>
      <c r="B30" s="34" t="s">
        <v>2</v>
      </c>
      <c r="C30" s="89">
        <v>5200</v>
      </c>
      <c r="D30" s="89">
        <f>C30/12*3</f>
        <v>1300</v>
      </c>
      <c r="E30" s="89">
        <f>3244.3+F30</f>
        <v>3552.7000000000003</v>
      </c>
      <c r="F30" s="98">
        <v>308.39999999999998</v>
      </c>
      <c r="G30" s="47"/>
      <c r="H30" s="47"/>
      <c r="I30" s="47"/>
      <c r="J30" s="47"/>
      <c r="K30" s="43"/>
    </row>
    <row r="31" spans="1:11" ht="25.5" x14ac:dyDescent="0.3">
      <c r="A31" s="12" t="s">
        <v>7</v>
      </c>
      <c r="B31" s="34" t="s">
        <v>2</v>
      </c>
      <c r="C31" s="89">
        <v>250</v>
      </c>
      <c r="D31" s="89">
        <f>C31/12*3</f>
        <v>62.5</v>
      </c>
      <c r="E31" s="89">
        <v>0</v>
      </c>
      <c r="F31" s="26"/>
      <c r="G31" s="62"/>
      <c r="H31" s="63"/>
      <c r="I31" s="63"/>
      <c r="J31" s="63"/>
      <c r="K31" s="62"/>
    </row>
    <row r="32" spans="1:11" ht="36.75" x14ac:dyDescent="0.3">
      <c r="A32" s="12" t="s">
        <v>8</v>
      </c>
      <c r="B32" s="34" t="s">
        <v>2</v>
      </c>
      <c r="C32" s="89">
        <v>2435</v>
      </c>
      <c r="D32" s="89">
        <f>C32/12*3</f>
        <v>608.75</v>
      </c>
      <c r="E32" s="89">
        <v>0</v>
      </c>
      <c r="F32" s="20">
        <v>0</v>
      </c>
      <c r="K32" s="29"/>
    </row>
    <row r="33" spans="1:11" ht="57" customHeight="1" x14ac:dyDescent="0.3">
      <c r="A33" s="12" t="s">
        <v>9</v>
      </c>
      <c r="B33" s="34" t="s">
        <v>2</v>
      </c>
      <c r="C33" s="89">
        <v>7879</v>
      </c>
      <c r="D33" s="89">
        <f>C33/12*3</f>
        <v>1969.75</v>
      </c>
      <c r="E33" s="89">
        <f>403.4+F33</f>
        <v>416.9</v>
      </c>
      <c r="F33" s="20">
        <v>13.5</v>
      </c>
      <c r="K33" s="2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topLeftCell="A13" zoomScale="70" zoomScaleNormal="70" workbookViewId="0">
      <selection activeCell="G30" sqref="G30:G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4" style="31" customWidth="1"/>
    <col min="6" max="6" width="12" style="29" customWidth="1"/>
    <col min="7" max="7" width="12" style="2" customWidth="1"/>
    <col min="8" max="8" width="9.140625" style="2"/>
    <col min="9" max="9" width="14.42578125" style="2" customWidth="1"/>
    <col min="10" max="10" width="9.140625" style="2"/>
    <col min="11" max="11" width="12.140625" style="2" customWidth="1"/>
    <col min="12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</row>
    <row r="2" spans="1:12" x14ac:dyDescent="0.3">
      <c r="A2" s="120" t="s">
        <v>90</v>
      </c>
      <c r="B2" s="120"/>
      <c r="C2" s="120"/>
      <c r="D2" s="120"/>
      <c r="E2" s="120"/>
    </row>
    <row r="3" spans="1:12" x14ac:dyDescent="0.3">
      <c r="A3" s="1"/>
    </row>
    <row r="4" spans="1:12" ht="42.75" customHeight="1" x14ac:dyDescent="0.3">
      <c r="A4" s="132" t="s">
        <v>51</v>
      </c>
      <c r="B4" s="132"/>
      <c r="C4" s="132"/>
      <c r="D4" s="132"/>
      <c r="E4" s="132"/>
    </row>
    <row r="5" spans="1:12" ht="15.75" customHeight="1" x14ac:dyDescent="0.3">
      <c r="A5" s="121" t="s">
        <v>13</v>
      </c>
      <c r="B5" s="121"/>
      <c r="C5" s="121"/>
      <c r="D5" s="121"/>
      <c r="E5" s="121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x14ac:dyDescent="0.3">
      <c r="A9" s="122" t="s">
        <v>24</v>
      </c>
      <c r="B9" s="130" t="s">
        <v>15</v>
      </c>
      <c r="C9" s="124" t="s">
        <v>38</v>
      </c>
      <c r="D9" s="124"/>
      <c r="E9" s="124"/>
      <c r="F9" s="26" t="s">
        <v>106</v>
      </c>
      <c r="K9" s="29"/>
    </row>
    <row r="10" spans="1:12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26"/>
      <c r="L10" s="2" t="s">
        <v>27</v>
      </c>
    </row>
    <row r="11" spans="1:12" x14ac:dyDescent="0.3">
      <c r="A11" s="5" t="s">
        <v>18</v>
      </c>
      <c r="B11" s="6" t="s">
        <v>10</v>
      </c>
      <c r="C11" s="42">
        <v>47</v>
      </c>
      <c r="D11" s="42">
        <v>47</v>
      </c>
      <c r="E11" s="42">
        <v>47</v>
      </c>
      <c r="F11" s="42">
        <v>47</v>
      </c>
    </row>
    <row r="12" spans="1:12" ht="25.5" x14ac:dyDescent="0.3">
      <c r="A12" s="10" t="s">
        <v>20</v>
      </c>
      <c r="B12" s="6" t="s">
        <v>2</v>
      </c>
      <c r="C12" s="27">
        <f>(C13-C32)/C11</f>
        <v>1340.4042553191491</v>
      </c>
      <c r="D12" s="27">
        <f t="shared" ref="D12:E12" si="0">(D13-D32)/D11</f>
        <v>335.10106382978728</v>
      </c>
      <c r="E12" s="27">
        <f t="shared" si="0"/>
        <v>995.31063829787252</v>
      </c>
      <c r="F12" s="26"/>
    </row>
    <row r="13" spans="1:12" ht="25.5" x14ac:dyDescent="0.3">
      <c r="A13" s="5" t="s">
        <v>76</v>
      </c>
      <c r="B13" s="6" t="s">
        <v>2</v>
      </c>
      <c r="C13" s="69">
        <f>C15+C29+C30+C31+C32+C33</f>
        <v>64869.000000000007</v>
      </c>
      <c r="D13" s="69">
        <f>D15+D29+D30+D31+D32+D33</f>
        <v>16217.250000000002</v>
      </c>
      <c r="E13" s="69">
        <f>E15+E29+E30+E31+E32+E33</f>
        <v>46779.600000000006</v>
      </c>
      <c r="F13" s="69">
        <f>F15+F29+F30+F31+F32+F33</f>
        <v>21668</v>
      </c>
    </row>
    <row r="14" spans="1:12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2" ht="25.5" x14ac:dyDescent="0.3">
      <c r="A15" s="5" t="s">
        <v>30</v>
      </c>
      <c r="B15" s="6" t="s">
        <v>2</v>
      </c>
      <c r="C15" s="69">
        <f>C17+C20+C23+C26</f>
        <v>45432.000000000007</v>
      </c>
      <c r="D15" s="69">
        <f>D17+D20+D23+D26</f>
        <v>11358.000000000002</v>
      </c>
      <c r="E15" s="69">
        <f>16396.1+F15</f>
        <v>35339.800000000003</v>
      </c>
      <c r="F15" s="69">
        <v>18943.7</v>
      </c>
    </row>
    <row r="16" spans="1:12" x14ac:dyDescent="0.3">
      <c r="A16" s="8" t="s">
        <v>1</v>
      </c>
      <c r="B16" s="9"/>
      <c r="C16" s="27"/>
      <c r="D16" s="27"/>
      <c r="E16" s="27"/>
      <c r="F16" s="26"/>
    </row>
    <row r="17" spans="1:11" s="18" customFormat="1" ht="25.5" x14ac:dyDescent="0.3">
      <c r="A17" s="20" t="s">
        <v>25</v>
      </c>
      <c r="B17" s="17" t="s">
        <v>2</v>
      </c>
      <c r="C17" s="42">
        <v>4513</v>
      </c>
      <c r="D17" s="42">
        <f>C17/12*3</f>
        <v>1128.25</v>
      </c>
      <c r="E17" s="42">
        <f>1628.3+F17</f>
        <v>3254.2</v>
      </c>
      <c r="F17" s="26">
        <v>1625.9</v>
      </c>
      <c r="G17" s="2"/>
    </row>
    <row r="18" spans="1:11" s="18" customFormat="1" x14ac:dyDescent="0.3">
      <c r="A18" s="21" t="s">
        <v>4</v>
      </c>
      <c r="B18" s="22" t="s">
        <v>3</v>
      </c>
      <c r="C18" s="89">
        <v>2</v>
      </c>
      <c r="D18" s="89">
        <v>2</v>
      </c>
      <c r="E18" s="27">
        <v>3</v>
      </c>
      <c r="F18" s="26">
        <v>3</v>
      </c>
    </row>
    <row r="19" spans="1:11" s="18" customFormat="1" ht="21.95" customHeight="1" x14ac:dyDescent="0.3">
      <c r="A19" s="21" t="s">
        <v>22</v>
      </c>
      <c r="B19" s="17" t="s">
        <v>23</v>
      </c>
      <c r="C19" s="27">
        <f>C17/C18/12*1000</f>
        <v>188041.66666666666</v>
      </c>
      <c r="D19" s="27">
        <f>D17*1000/9/D18</f>
        <v>62680.555555555555</v>
      </c>
      <c r="E19" s="27">
        <f>E17*1000/3/E18</f>
        <v>361577.77777777775</v>
      </c>
      <c r="F19" s="26">
        <v>180655.6</v>
      </c>
    </row>
    <row r="20" spans="1:11" s="18" customFormat="1" ht="25.5" x14ac:dyDescent="0.3">
      <c r="A20" s="20" t="s">
        <v>26</v>
      </c>
      <c r="B20" s="17" t="s">
        <v>2</v>
      </c>
      <c r="C20" s="42">
        <v>32421.8</v>
      </c>
      <c r="D20" s="42">
        <f>C20/12*3</f>
        <v>8105.45</v>
      </c>
      <c r="E20" s="42">
        <f>11393.5+F20</f>
        <v>24509.8</v>
      </c>
      <c r="F20" s="26">
        <v>13116.3</v>
      </c>
      <c r="G20" s="2"/>
    </row>
    <row r="21" spans="1:11" s="18" customFormat="1" x14ac:dyDescent="0.3">
      <c r="A21" s="21" t="s">
        <v>4</v>
      </c>
      <c r="B21" s="22" t="s">
        <v>3</v>
      </c>
      <c r="C21" s="89">
        <v>16</v>
      </c>
      <c r="D21" s="89">
        <v>16</v>
      </c>
      <c r="E21" s="27">
        <v>21</v>
      </c>
      <c r="F21" s="27">
        <v>17</v>
      </c>
    </row>
    <row r="22" spans="1:11" s="18" customFormat="1" ht="21.95" customHeight="1" x14ac:dyDescent="0.3">
      <c r="A22" s="21" t="s">
        <v>22</v>
      </c>
      <c r="B22" s="17" t="s">
        <v>23</v>
      </c>
      <c r="C22" s="27">
        <f>C20/C21/12*1000</f>
        <v>168863.54166666666</v>
      </c>
      <c r="D22" s="27">
        <f>D20*1000/9/D21</f>
        <v>56287.847222222219</v>
      </c>
      <c r="E22" s="27">
        <f>E20*1000/3/E21</f>
        <v>389044.44444444444</v>
      </c>
      <c r="F22" s="28">
        <v>257182.4</v>
      </c>
    </row>
    <row r="23" spans="1:11" ht="39" x14ac:dyDescent="0.3">
      <c r="A23" s="14" t="s">
        <v>21</v>
      </c>
      <c r="B23" s="6" t="s">
        <v>2</v>
      </c>
      <c r="C23" s="42">
        <v>3366.4</v>
      </c>
      <c r="D23" s="42">
        <f>C23/12*3</f>
        <v>841.60000000000014</v>
      </c>
      <c r="E23" s="42">
        <f>841.6+F23</f>
        <v>1942.9</v>
      </c>
      <c r="F23" s="27">
        <v>1101.3</v>
      </c>
    </row>
    <row r="24" spans="1:11" x14ac:dyDescent="0.3">
      <c r="A24" s="10" t="s">
        <v>4</v>
      </c>
      <c r="B24" s="11" t="s">
        <v>3</v>
      </c>
      <c r="C24" s="89">
        <v>3</v>
      </c>
      <c r="D24" s="89">
        <v>3</v>
      </c>
      <c r="E24" s="27">
        <v>3</v>
      </c>
      <c r="F24" s="26">
        <v>2</v>
      </c>
    </row>
    <row r="25" spans="1:11" ht="21.95" customHeight="1" x14ac:dyDescent="0.3">
      <c r="A25" s="10" t="s">
        <v>22</v>
      </c>
      <c r="B25" s="6" t="s">
        <v>23</v>
      </c>
      <c r="C25" s="27">
        <f>C23/C24/12*1000</f>
        <v>93511.111111111124</v>
      </c>
      <c r="D25" s="27">
        <f>D23*1000/9/D24</f>
        <v>31170.370370370376</v>
      </c>
      <c r="E25" s="27">
        <f>E23*1000/3/E24</f>
        <v>215877.77777777778</v>
      </c>
      <c r="F25" s="26">
        <v>183550</v>
      </c>
    </row>
    <row r="26" spans="1:11" ht="25.5" x14ac:dyDescent="0.3">
      <c r="A26" s="7" t="s">
        <v>19</v>
      </c>
      <c r="B26" s="6" t="s">
        <v>2</v>
      </c>
      <c r="C26" s="42">
        <v>5130.8</v>
      </c>
      <c r="D26" s="42">
        <f>C26/12*3</f>
        <v>1282.7</v>
      </c>
      <c r="E26" s="42">
        <f>2532.7+F26</f>
        <v>5632.9</v>
      </c>
      <c r="F26" s="26">
        <v>3100.2</v>
      </c>
    </row>
    <row r="27" spans="1:11" x14ac:dyDescent="0.3">
      <c r="A27" s="10" t="s">
        <v>4</v>
      </c>
      <c r="B27" s="11" t="s">
        <v>3</v>
      </c>
      <c r="C27" s="89">
        <v>11.5</v>
      </c>
      <c r="D27" s="89">
        <v>11.5</v>
      </c>
      <c r="E27" s="27">
        <v>132</v>
      </c>
      <c r="F27" s="26">
        <v>14</v>
      </c>
    </row>
    <row r="28" spans="1:11" ht="21.95" customHeight="1" x14ac:dyDescent="0.3">
      <c r="A28" s="10" t="s">
        <v>22</v>
      </c>
      <c r="B28" s="6" t="s">
        <v>23</v>
      </c>
      <c r="C28" s="27">
        <f>C26/C27/12*1000</f>
        <v>37179.710144927536</v>
      </c>
      <c r="D28" s="27">
        <f>D26*1000/9/D27</f>
        <v>12393.236714975845</v>
      </c>
      <c r="E28" s="27">
        <f>E26*1000/3/E27</f>
        <v>14224.494949494949</v>
      </c>
      <c r="F28" s="26">
        <v>73814.3</v>
      </c>
    </row>
    <row r="29" spans="1:11" ht="25.5" x14ac:dyDescent="0.3">
      <c r="A29" s="5" t="s">
        <v>5</v>
      </c>
      <c r="B29" s="6" t="s">
        <v>2</v>
      </c>
      <c r="C29" s="89">
        <v>3741</v>
      </c>
      <c r="D29" s="89">
        <f>C29/12*3</f>
        <v>935.25</v>
      </c>
      <c r="E29" s="89">
        <f>1690.8+F29</f>
        <v>3680.1</v>
      </c>
      <c r="F29" s="20">
        <v>1989.3</v>
      </c>
      <c r="G29" s="43"/>
      <c r="H29" s="43"/>
      <c r="I29" s="47"/>
      <c r="J29" s="47"/>
      <c r="K29" s="43"/>
    </row>
    <row r="30" spans="1:11" ht="36.75" x14ac:dyDescent="0.3">
      <c r="A30" s="12" t="s">
        <v>6</v>
      </c>
      <c r="B30" s="6" t="s">
        <v>2</v>
      </c>
      <c r="C30" s="89">
        <v>10500</v>
      </c>
      <c r="D30" s="89">
        <f>C30/12*3</f>
        <v>2625</v>
      </c>
      <c r="E30" s="89">
        <f>6589.8+F30</f>
        <v>7304.9000000000005</v>
      </c>
      <c r="F30" s="98">
        <v>715.1</v>
      </c>
      <c r="G30" s="47"/>
      <c r="H30" s="47"/>
      <c r="I30" s="47"/>
      <c r="J30" s="47"/>
      <c r="K30" s="43"/>
    </row>
    <row r="31" spans="1:11" ht="25.5" x14ac:dyDescent="0.3">
      <c r="A31" s="12" t="s">
        <v>7</v>
      </c>
      <c r="B31" s="6" t="s">
        <v>2</v>
      </c>
      <c r="C31" s="89">
        <v>300</v>
      </c>
      <c r="D31" s="89">
        <f>C31/12*3</f>
        <v>75</v>
      </c>
      <c r="E31" s="89">
        <v>0</v>
      </c>
      <c r="F31" s="20"/>
      <c r="G31" s="63"/>
      <c r="H31" s="63"/>
      <c r="I31" s="63"/>
      <c r="J31" s="63"/>
      <c r="K31" s="63"/>
    </row>
    <row r="32" spans="1:11" ht="36.75" x14ac:dyDescent="0.3">
      <c r="A32" s="12" t="s">
        <v>8</v>
      </c>
      <c r="B32" s="6" t="s">
        <v>2</v>
      </c>
      <c r="C32" s="89">
        <v>1870</v>
      </c>
      <c r="D32" s="89">
        <f>C32/12*3</f>
        <v>467.5</v>
      </c>
      <c r="E32" s="89">
        <v>0</v>
      </c>
      <c r="F32" s="20">
        <v>0</v>
      </c>
    </row>
    <row r="33" spans="1:6" ht="61.5" customHeight="1" x14ac:dyDescent="0.3">
      <c r="A33" s="12" t="s">
        <v>9</v>
      </c>
      <c r="B33" s="6" t="s">
        <v>2</v>
      </c>
      <c r="C33" s="89">
        <v>3026</v>
      </c>
      <c r="D33" s="89">
        <f>C33/12*3</f>
        <v>756.5</v>
      </c>
      <c r="E33" s="89">
        <f>434.9+F33</f>
        <v>454.79999999999995</v>
      </c>
      <c r="F33" s="20">
        <v>19.899999999999999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80" zoomScaleNormal="80" workbookViewId="0">
      <selection activeCell="G30" sqref="G30:G34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4.42578125" style="29" customWidth="1"/>
    <col min="7" max="7" width="12" style="29" customWidth="1"/>
    <col min="8" max="8" width="9.140625" style="29"/>
    <col min="9" max="10" width="9.140625" style="2"/>
    <col min="11" max="11" width="11.28515625" style="2" customWidth="1"/>
    <col min="12" max="16384" width="9.140625" style="2"/>
  </cols>
  <sheetData>
    <row r="1" spans="1:7" x14ac:dyDescent="0.3">
      <c r="A1" s="120" t="s">
        <v>12</v>
      </c>
      <c r="B1" s="120"/>
      <c r="C1" s="120"/>
      <c r="D1" s="120"/>
      <c r="E1" s="120"/>
    </row>
    <row r="2" spans="1:7" x14ac:dyDescent="0.3">
      <c r="A2" s="120" t="s">
        <v>90</v>
      </c>
      <c r="B2" s="120"/>
      <c r="C2" s="120"/>
      <c r="D2" s="120"/>
      <c r="E2" s="120"/>
    </row>
    <row r="3" spans="1:7" x14ac:dyDescent="0.3">
      <c r="A3" s="1"/>
    </row>
    <row r="4" spans="1:7" ht="63.75" customHeight="1" x14ac:dyDescent="0.3">
      <c r="A4" s="132" t="s">
        <v>52</v>
      </c>
      <c r="B4" s="132"/>
      <c r="C4" s="132"/>
      <c r="D4" s="132"/>
      <c r="E4" s="132"/>
    </row>
    <row r="5" spans="1:7" ht="15.75" customHeight="1" x14ac:dyDescent="0.3">
      <c r="A5" s="121" t="s">
        <v>13</v>
      </c>
      <c r="B5" s="121"/>
      <c r="C5" s="121"/>
      <c r="D5" s="121"/>
      <c r="E5" s="121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122" t="s">
        <v>24</v>
      </c>
      <c r="B9" s="123" t="s">
        <v>15</v>
      </c>
      <c r="C9" s="124" t="s">
        <v>35</v>
      </c>
      <c r="D9" s="124"/>
      <c r="E9" s="124"/>
      <c r="F9" s="93" t="s">
        <v>94</v>
      </c>
    </row>
    <row r="10" spans="1:7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26"/>
    </row>
    <row r="11" spans="1:7" x14ac:dyDescent="0.3">
      <c r="A11" s="5" t="s">
        <v>18</v>
      </c>
      <c r="B11" s="34" t="s">
        <v>10</v>
      </c>
      <c r="C11" s="48">
        <v>72</v>
      </c>
      <c r="D11" s="48">
        <v>72</v>
      </c>
      <c r="E11" s="48">
        <v>72</v>
      </c>
      <c r="F11" s="26"/>
    </row>
    <row r="12" spans="1:7" ht="25.5" x14ac:dyDescent="0.3">
      <c r="A12" s="10" t="s">
        <v>20</v>
      </c>
      <c r="B12" s="34" t="s">
        <v>2</v>
      </c>
      <c r="C12" s="27">
        <f>(C13-C32)/C11</f>
        <v>880.06944444444446</v>
      </c>
      <c r="D12" s="27">
        <f t="shared" ref="D12:E12" si="0">(D13-D32)/D11</f>
        <v>220.01736111111111</v>
      </c>
      <c r="E12" s="27">
        <f t="shared" si="0"/>
        <v>721.20138888888891</v>
      </c>
      <c r="F12" s="26"/>
    </row>
    <row r="13" spans="1:7" ht="25.5" x14ac:dyDescent="0.3">
      <c r="A13" s="5" t="s">
        <v>71</v>
      </c>
      <c r="B13" s="34" t="s">
        <v>2</v>
      </c>
      <c r="C13" s="69">
        <f>C15+C29+C30+C31+C32+C33</f>
        <v>65185</v>
      </c>
      <c r="D13" s="70">
        <f>D15+D29+D30+D31+D32+D33</f>
        <v>16296.25</v>
      </c>
      <c r="E13" s="70">
        <f>E15+E29+E30+E31+E32+E33</f>
        <v>51926.5</v>
      </c>
      <c r="F13" s="113">
        <f>F15+F29+F30</f>
        <v>25345.100000000002</v>
      </c>
    </row>
    <row r="14" spans="1:7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6"/>
      <c r="G14" s="31"/>
    </row>
    <row r="15" spans="1:7" ht="25.5" x14ac:dyDescent="0.3">
      <c r="A15" s="5" t="s">
        <v>70</v>
      </c>
      <c r="B15" s="34" t="s">
        <v>2</v>
      </c>
      <c r="C15" s="69">
        <f>C17+C20+C23+C26</f>
        <v>46536</v>
      </c>
      <c r="D15" s="69">
        <f t="shared" ref="D15" si="2">D17+D20+D23+D26</f>
        <v>11634</v>
      </c>
      <c r="E15" s="69">
        <f>19739.7+F15</f>
        <v>42384.4</v>
      </c>
      <c r="F15" s="69">
        <v>22644.7</v>
      </c>
    </row>
    <row r="16" spans="1:7" x14ac:dyDescent="0.3">
      <c r="A16" s="8" t="s">
        <v>1</v>
      </c>
      <c r="B16" s="35"/>
      <c r="C16" s="27"/>
      <c r="D16" s="27"/>
      <c r="E16" s="27"/>
      <c r="F16" s="26"/>
    </row>
    <row r="17" spans="1:11" s="18" customFormat="1" ht="25.5" x14ac:dyDescent="0.3">
      <c r="A17" s="20" t="s">
        <v>25</v>
      </c>
      <c r="B17" s="34" t="s">
        <v>2</v>
      </c>
      <c r="C17" s="42">
        <v>5409.2</v>
      </c>
      <c r="D17" s="42">
        <f>C17/12*3</f>
        <v>1352.3</v>
      </c>
      <c r="E17" s="42">
        <f>1602.3+F17</f>
        <v>3257.1</v>
      </c>
      <c r="F17" s="26">
        <v>1654.8</v>
      </c>
      <c r="G17" s="29"/>
      <c r="H17" s="29"/>
    </row>
    <row r="18" spans="1:11" s="18" customFormat="1" x14ac:dyDescent="0.3">
      <c r="A18" s="21" t="s">
        <v>4</v>
      </c>
      <c r="B18" s="36" t="s">
        <v>3</v>
      </c>
      <c r="C18" s="89">
        <v>3</v>
      </c>
      <c r="D18" s="89">
        <v>3</v>
      </c>
      <c r="E18" s="27">
        <v>3</v>
      </c>
      <c r="F18" s="26">
        <v>3</v>
      </c>
      <c r="G18" s="29"/>
      <c r="H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150255.55555555556</v>
      </c>
      <c r="D19" s="27">
        <f>D17*1000/9/D18</f>
        <v>50085.18518518519</v>
      </c>
      <c r="E19" s="27">
        <f>E17*1000/3/E18</f>
        <v>361900</v>
      </c>
      <c r="F19" s="26">
        <v>183866.7</v>
      </c>
      <c r="G19" s="29"/>
      <c r="H19" s="29"/>
    </row>
    <row r="20" spans="1:11" s="18" customFormat="1" ht="25.5" x14ac:dyDescent="0.3">
      <c r="A20" s="20" t="s">
        <v>26</v>
      </c>
      <c r="B20" s="34" t="s">
        <v>2</v>
      </c>
      <c r="C20" s="42">
        <v>27347.599999999999</v>
      </c>
      <c r="D20" s="42">
        <f>C20/12*3</f>
        <v>6836.9</v>
      </c>
      <c r="E20" s="42">
        <f>14336.9+F20</f>
        <v>31326</v>
      </c>
      <c r="F20" s="26">
        <v>16989.099999999999</v>
      </c>
      <c r="G20" s="29"/>
      <c r="H20" s="29"/>
    </row>
    <row r="21" spans="1:11" x14ac:dyDescent="0.3">
      <c r="A21" s="10" t="s">
        <v>4</v>
      </c>
      <c r="B21" s="36" t="s">
        <v>3</v>
      </c>
      <c r="C21" s="89">
        <v>19.7</v>
      </c>
      <c r="D21" s="89">
        <v>19.7</v>
      </c>
      <c r="E21" s="27">
        <v>21</v>
      </c>
      <c r="F21" s="26">
        <v>16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115683.58714043994</v>
      </c>
      <c r="D22" s="27">
        <f>D20*1000/9/D21</f>
        <v>38561.195713479974</v>
      </c>
      <c r="E22" s="27">
        <f>E20*1000/3/E21</f>
        <v>497238.09523809527</v>
      </c>
      <c r="F22" s="26">
        <v>353939.6</v>
      </c>
    </row>
    <row r="23" spans="1:11" ht="39" x14ac:dyDescent="0.3">
      <c r="A23" s="14" t="s">
        <v>21</v>
      </c>
      <c r="B23" s="34" t="s">
        <v>2</v>
      </c>
      <c r="C23" s="42">
        <v>5200</v>
      </c>
      <c r="D23" s="42">
        <f>C23/12*3</f>
        <v>1300</v>
      </c>
      <c r="E23" s="42">
        <f>1300.1+F23</f>
        <v>2500.3999999999996</v>
      </c>
      <c r="F23" s="26">
        <v>1200.3</v>
      </c>
    </row>
    <row r="24" spans="1:11" x14ac:dyDescent="0.3">
      <c r="A24" s="10" t="s">
        <v>4</v>
      </c>
      <c r="B24" s="36" t="s">
        <v>3</v>
      </c>
      <c r="C24" s="89">
        <v>3</v>
      </c>
      <c r="D24" s="89">
        <v>3</v>
      </c>
      <c r="E24" s="27">
        <v>4</v>
      </c>
      <c r="F24" s="26">
        <v>4</v>
      </c>
    </row>
    <row r="25" spans="1:11" ht="21.95" customHeight="1" x14ac:dyDescent="0.3">
      <c r="A25" s="10" t="s">
        <v>22</v>
      </c>
      <c r="B25" s="34" t="s">
        <v>23</v>
      </c>
      <c r="C25" s="27">
        <f>C23/C24/12*1000</f>
        <v>144444.44444444444</v>
      </c>
      <c r="D25" s="27">
        <f>D23*1000/9/D24</f>
        <v>48148.148148148146</v>
      </c>
      <c r="E25" s="27">
        <f>E23*1000/3/E24</f>
        <v>208366.66666666663</v>
      </c>
      <c r="F25" s="26">
        <v>100025</v>
      </c>
    </row>
    <row r="26" spans="1:11" ht="25.5" x14ac:dyDescent="0.3">
      <c r="A26" s="7" t="s">
        <v>19</v>
      </c>
      <c r="B26" s="34" t="s">
        <v>2</v>
      </c>
      <c r="C26" s="42">
        <v>8579.2000000000007</v>
      </c>
      <c r="D26" s="42">
        <f>C26/12*3</f>
        <v>2144.8000000000002</v>
      </c>
      <c r="E26" s="42">
        <f>2500.4+F26</f>
        <v>5300.9</v>
      </c>
      <c r="F26" s="26">
        <v>2800.5</v>
      </c>
    </row>
    <row r="27" spans="1:11" x14ac:dyDescent="0.3">
      <c r="A27" s="10" t="s">
        <v>4</v>
      </c>
      <c r="B27" s="36" t="s">
        <v>3</v>
      </c>
      <c r="C27" s="115">
        <v>10.25</v>
      </c>
      <c r="D27" s="115">
        <v>10.25</v>
      </c>
      <c r="E27" s="27">
        <v>12</v>
      </c>
      <c r="F27" s="26">
        <v>10</v>
      </c>
    </row>
    <row r="28" spans="1:11" ht="21.95" customHeight="1" x14ac:dyDescent="0.3">
      <c r="A28" s="10" t="s">
        <v>22</v>
      </c>
      <c r="B28" s="34" t="s">
        <v>23</v>
      </c>
      <c r="C28" s="27">
        <f>C26/C27/12*1000</f>
        <v>69749.593495934969</v>
      </c>
      <c r="D28" s="27">
        <f>D26*1000/9/D27</f>
        <v>23249.864498644987</v>
      </c>
      <c r="E28" s="27">
        <f>E26*1000/3/E27</f>
        <v>147247.22222222222</v>
      </c>
      <c r="F28" s="26">
        <v>93350</v>
      </c>
    </row>
    <row r="29" spans="1:11" ht="25.5" x14ac:dyDescent="0.3">
      <c r="A29" s="5" t="s">
        <v>5</v>
      </c>
      <c r="B29" s="34" t="s">
        <v>2</v>
      </c>
      <c r="C29" s="89">
        <v>4027</v>
      </c>
      <c r="D29" s="89">
        <f>C29/12*3</f>
        <v>1006.75</v>
      </c>
      <c r="E29" s="89">
        <f>2016.1+F29</f>
        <v>4302.6000000000004</v>
      </c>
      <c r="F29" s="20">
        <v>2286.5</v>
      </c>
      <c r="G29" s="50"/>
      <c r="H29" s="50"/>
      <c r="I29" s="51"/>
      <c r="J29" s="51"/>
      <c r="K29" s="50"/>
    </row>
    <row r="30" spans="1:11" ht="36.75" x14ac:dyDescent="0.3">
      <c r="A30" s="12" t="s">
        <v>6</v>
      </c>
      <c r="B30" s="34" t="s">
        <v>2</v>
      </c>
      <c r="C30" s="91">
        <v>7861</v>
      </c>
      <c r="D30" s="89">
        <f>C30/12*3</f>
        <v>1965.25</v>
      </c>
      <c r="E30" s="91">
        <f>4426.3+F30</f>
        <v>4840.2</v>
      </c>
      <c r="F30" s="98">
        <v>413.9</v>
      </c>
      <c r="G30" s="51"/>
      <c r="H30" s="51"/>
      <c r="I30" s="51"/>
      <c r="J30" s="51"/>
      <c r="K30" s="50"/>
    </row>
    <row r="31" spans="1:11" ht="25.5" x14ac:dyDescent="0.3">
      <c r="A31" s="12" t="s">
        <v>7</v>
      </c>
      <c r="B31" s="34" t="s">
        <v>2</v>
      </c>
      <c r="C31" s="91">
        <v>200</v>
      </c>
      <c r="D31" s="89">
        <f>C31/12*3</f>
        <v>50</v>
      </c>
      <c r="E31" s="91">
        <v>0</v>
      </c>
      <c r="F31" s="20"/>
      <c r="G31" s="50"/>
      <c r="H31" s="50"/>
      <c r="I31" s="51"/>
      <c r="J31" s="51"/>
      <c r="K31" s="51"/>
    </row>
    <row r="32" spans="1:11" ht="36.75" x14ac:dyDescent="0.3">
      <c r="A32" s="12" t="s">
        <v>8</v>
      </c>
      <c r="B32" s="34" t="s">
        <v>2</v>
      </c>
      <c r="C32" s="91">
        <v>1820</v>
      </c>
      <c r="D32" s="89">
        <f>C32/12*3</f>
        <v>455</v>
      </c>
      <c r="E32" s="91">
        <v>0</v>
      </c>
      <c r="F32" s="20">
        <v>0</v>
      </c>
      <c r="G32" s="50"/>
      <c r="H32" s="50"/>
      <c r="I32" s="51"/>
      <c r="J32" s="51"/>
      <c r="K32" s="51"/>
    </row>
    <row r="33" spans="1:11" ht="50.25" customHeight="1" x14ac:dyDescent="0.3">
      <c r="A33" s="12" t="s">
        <v>9</v>
      </c>
      <c r="B33" s="34" t="s">
        <v>2</v>
      </c>
      <c r="C33" s="91">
        <v>4741</v>
      </c>
      <c r="D33" s="89">
        <f>C33/12*3</f>
        <v>1185.25</v>
      </c>
      <c r="E33" s="91">
        <f>387.3+F33</f>
        <v>399.3</v>
      </c>
      <c r="F33" s="20">
        <v>12</v>
      </c>
      <c r="G33" s="50"/>
      <c r="H33" s="50"/>
      <c r="I33" s="51"/>
      <c r="J33" s="51"/>
      <c r="K33" s="5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80" zoomScaleNormal="80" workbookViewId="0">
      <selection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.7109375" style="29" customWidth="1"/>
    <col min="8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53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3" t="s">
        <v>104</v>
      </c>
      <c r="G9" s="2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174</v>
      </c>
      <c r="D11" s="48">
        <v>174</v>
      </c>
      <c r="E11" s="48">
        <v>174</v>
      </c>
      <c r="F11" s="48">
        <v>174</v>
      </c>
    </row>
    <row r="12" spans="1:8" ht="25.5" x14ac:dyDescent="0.3">
      <c r="A12" s="10" t="s">
        <v>20</v>
      </c>
      <c r="B12" s="34" t="s">
        <v>2</v>
      </c>
      <c r="C12" s="27">
        <f>(C13-C32)/C11</f>
        <v>406.72988505747128</v>
      </c>
      <c r="D12" s="27">
        <f t="shared" ref="D12:E12" si="0">(D13-D32)/D11</f>
        <v>101.68247126436782</v>
      </c>
      <c r="E12" s="27">
        <f t="shared" si="0"/>
        <v>387.22931034482764</v>
      </c>
      <c r="F12" s="27"/>
    </row>
    <row r="13" spans="1:8" ht="25.5" x14ac:dyDescent="0.3">
      <c r="A13" s="5" t="s">
        <v>77</v>
      </c>
      <c r="B13" s="34" t="s">
        <v>2</v>
      </c>
      <c r="C13" s="69">
        <f>C15+C29+C30+C31+C32+C33</f>
        <v>71531</v>
      </c>
      <c r="D13" s="69">
        <f>D15+D29+D30+D31+D32+D33</f>
        <v>17882.75</v>
      </c>
      <c r="E13" s="69">
        <f>E15+E29+E30+E31+E32+E33</f>
        <v>67377.900000000009</v>
      </c>
      <c r="F13" s="69">
        <f>F15+F29+F30</f>
        <v>29870.600000000002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78</v>
      </c>
      <c r="B15" s="34" t="s">
        <v>2</v>
      </c>
      <c r="C15" s="69">
        <f>C17+C20+C23+C26</f>
        <v>49788</v>
      </c>
      <c r="D15" s="69">
        <f t="shared" ref="D15" si="2">D17+D20+D23+D26</f>
        <v>12447</v>
      </c>
      <c r="E15" s="69">
        <f>E17+E20+E23+E26</f>
        <v>52278.500000000007</v>
      </c>
      <c r="F15" s="69">
        <v>25737.3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42">
        <v>4890</v>
      </c>
      <c r="D17" s="42">
        <f>C17/12*3</f>
        <v>1222.5</v>
      </c>
      <c r="E17" s="42">
        <f>1962.1+F17</f>
        <v>4007</v>
      </c>
      <c r="F17" s="42">
        <v>2044.9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89">
        <v>3</v>
      </c>
      <c r="D18" s="89">
        <v>3</v>
      </c>
      <c r="E18" s="27">
        <v>2</v>
      </c>
      <c r="F18" s="27">
        <v>2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27">
        <f>C17/C18/12*1000</f>
        <v>135833.33333333334</v>
      </c>
      <c r="D19" s="27">
        <f>D17*1000/9/D18</f>
        <v>45277.777777777781</v>
      </c>
      <c r="E19" s="27">
        <f>E17*1000/3/E18</f>
        <v>667833.33333333337</v>
      </c>
      <c r="F19" s="27">
        <v>340816.7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42">
        <v>37033</v>
      </c>
      <c r="D20" s="42">
        <f>C20/12*3</f>
        <v>9258.25</v>
      </c>
      <c r="E20" s="42">
        <f>20862.7+F20</f>
        <v>39161.300000000003</v>
      </c>
      <c r="F20" s="42">
        <v>18298.599999999999</v>
      </c>
      <c r="G20" s="29"/>
      <c r="H20" s="29"/>
    </row>
    <row r="21" spans="1:12" x14ac:dyDescent="0.3">
      <c r="A21" s="10" t="s">
        <v>4</v>
      </c>
      <c r="B21" s="36" t="s">
        <v>3</v>
      </c>
      <c r="C21" s="89">
        <v>22.1</v>
      </c>
      <c r="D21" s="89">
        <v>22.1</v>
      </c>
      <c r="E21" s="89">
        <v>16</v>
      </c>
      <c r="F21" s="89">
        <v>16</v>
      </c>
    </row>
    <row r="22" spans="1:12" ht="21.95" customHeight="1" x14ac:dyDescent="0.3">
      <c r="A22" s="10" t="s">
        <v>22</v>
      </c>
      <c r="B22" s="34" t="s">
        <v>23</v>
      </c>
      <c r="C22" s="89">
        <f>C20/C21/12*1000</f>
        <v>139641.77978883858</v>
      </c>
      <c r="D22" s="89">
        <f>D20*1000/9/D21</f>
        <v>46547.259929612868</v>
      </c>
      <c r="E22" s="89">
        <f>E20*1000/3/E21</f>
        <v>815860.41666666663</v>
      </c>
      <c r="F22" s="89">
        <v>381220.8</v>
      </c>
    </row>
    <row r="23" spans="1:12" ht="39" x14ac:dyDescent="0.3">
      <c r="A23" s="14" t="s">
        <v>21</v>
      </c>
      <c r="B23" s="34" t="s">
        <v>2</v>
      </c>
      <c r="C23" s="89">
        <v>4035</v>
      </c>
      <c r="D23" s="89">
        <f>C23/12*3</f>
        <v>1008.75</v>
      </c>
      <c r="E23" s="89">
        <f>1258.9+F23</f>
        <v>3260.3</v>
      </c>
      <c r="F23" s="89">
        <v>2001.4</v>
      </c>
    </row>
    <row r="24" spans="1:12" x14ac:dyDescent="0.3">
      <c r="A24" s="10" t="s">
        <v>4</v>
      </c>
      <c r="B24" s="36" t="s">
        <v>3</v>
      </c>
      <c r="C24" s="89">
        <v>4</v>
      </c>
      <c r="D24" s="89">
        <v>4</v>
      </c>
      <c r="E24" s="89">
        <v>2</v>
      </c>
      <c r="F24" s="89">
        <v>3</v>
      </c>
    </row>
    <row r="25" spans="1:12" ht="21.95" customHeight="1" x14ac:dyDescent="0.3">
      <c r="A25" s="10" t="s">
        <v>22</v>
      </c>
      <c r="B25" s="34" t="s">
        <v>23</v>
      </c>
      <c r="C25" s="89">
        <f>C23/C24/12*1000</f>
        <v>84062.5</v>
      </c>
      <c r="D25" s="89">
        <f>D23*1000/9/D24</f>
        <v>28020.833333333332</v>
      </c>
      <c r="E25" s="89">
        <f>E23*1000/3/E24</f>
        <v>543383.33333333337</v>
      </c>
      <c r="F25" s="89">
        <v>222377.8</v>
      </c>
    </row>
    <row r="26" spans="1:12" ht="25.5" x14ac:dyDescent="0.3">
      <c r="A26" s="7" t="s">
        <v>19</v>
      </c>
      <c r="B26" s="34" t="s">
        <v>2</v>
      </c>
      <c r="C26" s="89">
        <v>3830</v>
      </c>
      <c r="D26" s="89">
        <f>C26/12*3</f>
        <v>957.5</v>
      </c>
      <c r="E26" s="89">
        <f>2457.5+F26</f>
        <v>5849.9</v>
      </c>
      <c r="F26" s="89">
        <v>3392.4</v>
      </c>
    </row>
    <row r="27" spans="1:12" x14ac:dyDescent="0.3">
      <c r="A27" s="10" t="s">
        <v>4</v>
      </c>
      <c r="B27" s="36" t="s">
        <v>3</v>
      </c>
      <c r="C27" s="89">
        <v>13.5</v>
      </c>
      <c r="D27" s="89">
        <v>13.5</v>
      </c>
      <c r="E27" s="89">
        <v>12</v>
      </c>
      <c r="F27" s="89">
        <v>9</v>
      </c>
    </row>
    <row r="28" spans="1:12" ht="21.95" customHeight="1" x14ac:dyDescent="0.3">
      <c r="A28" s="10" t="s">
        <v>22</v>
      </c>
      <c r="B28" s="34" t="s">
        <v>23</v>
      </c>
      <c r="C28" s="89">
        <f>C26/C27/12*1000</f>
        <v>23641.975308641973</v>
      </c>
      <c r="D28" s="89">
        <f>D26*1000/9/D27</f>
        <v>7880.658436213992</v>
      </c>
      <c r="E28" s="89">
        <f>E26*1000/3/E27</f>
        <v>162497.22222222222</v>
      </c>
      <c r="F28" s="89">
        <v>125644.4</v>
      </c>
    </row>
    <row r="29" spans="1:12" ht="25.5" x14ac:dyDescent="0.3">
      <c r="A29" s="5" t="s">
        <v>5</v>
      </c>
      <c r="B29" s="34" t="s">
        <v>2</v>
      </c>
      <c r="C29" s="89">
        <v>6063</v>
      </c>
      <c r="D29" s="89">
        <f>C29/12*3</f>
        <v>1515.75</v>
      </c>
      <c r="E29" s="89">
        <f>2747.3+F29</f>
        <v>5417.2000000000007</v>
      </c>
      <c r="F29" s="89">
        <v>2669.9</v>
      </c>
      <c r="G29" s="43"/>
      <c r="H29" s="43"/>
      <c r="I29" s="43"/>
      <c r="J29" s="47"/>
      <c r="K29" s="47"/>
      <c r="L29" s="43"/>
    </row>
    <row r="30" spans="1:12" ht="36.75" x14ac:dyDescent="0.3">
      <c r="A30" s="12" t="s">
        <v>6</v>
      </c>
      <c r="B30" s="34" t="s">
        <v>2</v>
      </c>
      <c r="C30" s="91">
        <v>9953</v>
      </c>
      <c r="D30" s="89">
        <f>C30/12*3</f>
        <v>2488.25</v>
      </c>
      <c r="E30" s="91">
        <f>7807.1+F30</f>
        <v>9270.5</v>
      </c>
      <c r="F30" s="91">
        <v>1463.4</v>
      </c>
      <c r="G30" s="50"/>
      <c r="H30" s="47"/>
      <c r="I30" s="47"/>
      <c r="J30" s="47"/>
      <c r="K30" s="47"/>
      <c r="L30" s="43"/>
    </row>
    <row r="31" spans="1:12" ht="25.5" x14ac:dyDescent="0.3">
      <c r="A31" s="12" t="s">
        <v>7</v>
      </c>
      <c r="B31" s="34" t="s">
        <v>2</v>
      </c>
      <c r="C31" s="91">
        <v>200</v>
      </c>
      <c r="D31" s="89">
        <f>C31/12*3</f>
        <v>50</v>
      </c>
      <c r="E31" s="91">
        <v>0</v>
      </c>
      <c r="F31" s="91">
        <v>0</v>
      </c>
      <c r="G31" s="64"/>
      <c r="H31" s="64"/>
      <c r="I31" s="65"/>
      <c r="J31" s="65"/>
      <c r="K31" s="65"/>
    </row>
    <row r="32" spans="1:12" ht="36.75" x14ac:dyDescent="0.3">
      <c r="A32" s="12" t="s">
        <v>8</v>
      </c>
      <c r="B32" s="34" t="s">
        <v>2</v>
      </c>
      <c r="C32" s="91">
        <v>760</v>
      </c>
      <c r="D32" s="89">
        <f>C32/12*3</f>
        <v>190</v>
      </c>
      <c r="E32" s="91">
        <v>0</v>
      </c>
      <c r="F32" s="91">
        <v>0</v>
      </c>
    </row>
    <row r="33" spans="1:6" ht="55.5" customHeight="1" x14ac:dyDescent="0.3">
      <c r="A33" s="12" t="s">
        <v>9</v>
      </c>
      <c r="B33" s="34" t="s">
        <v>2</v>
      </c>
      <c r="C33" s="91">
        <v>4767</v>
      </c>
      <c r="D33" s="89">
        <f>C33/12*3</f>
        <v>1191.75</v>
      </c>
      <c r="E33" s="91">
        <f>332+F33</f>
        <v>411.7</v>
      </c>
      <c r="F33" s="91">
        <v>79.7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4"/>
  <sheetViews>
    <sheetView zoomScale="80" zoomScaleNormal="80" workbookViewId="0">
      <selection activeCell="G29" sqref="G29:G35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9" width="9.140625" style="29"/>
    <col min="10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54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4" t="s">
        <v>92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109">
        <v>21</v>
      </c>
      <c r="D11" s="109">
        <v>21</v>
      </c>
      <c r="E11" s="48">
        <v>21</v>
      </c>
      <c r="F11" s="48">
        <v>21</v>
      </c>
    </row>
    <row r="12" spans="1:8" ht="25.5" x14ac:dyDescent="0.3">
      <c r="A12" s="10" t="s">
        <v>20</v>
      </c>
      <c r="B12" s="34" t="s">
        <v>2</v>
      </c>
      <c r="C12" s="27">
        <f>(C13-C32)/C11</f>
        <v>1882.952380952381</v>
      </c>
      <c r="D12" s="25">
        <f t="shared" ref="D12:E12" si="0">(D13-D32)/D11</f>
        <v>470.73809523809524</v>
      </c>
      <c r="E12" s="25">
        <f t="shared" si="0"/>
        <v>1080.4238095238093</v>
      </c>
      <c r="F12" s="25"/>
    </row>
    <row r="13" spans="1:8" ht="25.5" x14ac:dyDescent="0.3">
      <c r="A13" s="5" t="s">
        <v>71</v>
      </c>
      <c r="B13" s="34" t="s">
        <v>2</v>
      </c>
      <c r="C13" s="69">
        <f>C15+C29+C30+C31+C32+C33</f>
        <v>40642</v>
      </c>
      <c r="D13" s="69">
        <f>D15+D29+D30+D31+D32+D33</f>
        <v>10160.5</v>
      </c>
      <c r="E13" s="70">
        <f>E15+E29+E30+E31+E32+E33</f>
        <v>22688.899999999994</v>
      </c>
      <c r="F13" s="69">
        <f>F15+F29+F30</f>
        <v>12259.6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79</v>
      </c>
      <c r="B15" s="34" t="s">
        <v>2</v>
      </c>
      <c r="C15" s="69">
        <f>C17+C20+C23+C26</f>
        <v>29400</v>
      </c>
      <c r="D15" s="69">
        <f t="shared" ref="D15:E15" si="2">D17+D20+D23+D26</f>
        <v>7350</v>
      </c>
      <c r="E15" s="69">
        <f t="shared" si="2"/>
        <v>18842.099999999999</v>
      </c>
      <c r="F15" s="69">
        <v>10953.8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89">
        <v>4601.6000000000004</v>
      </c>
      <c r="D17" s="89">
        <f>C17/12*3</f>
        <v>1150.4000000000001</v>
      </c>
      <c r="E17" s="89">
        <f>F17</f>
        <v>1234</v>
      </c>
      <c r="F17" s="89">
        <v>1234</v>
      </c>
      <c r="G17" s="29"/>
      <c r="H17" s="29"/>
      <c r="I17" s="29"/>
    </row>
    <row r="18" spans="1:12" s="18" customFormat="1" x14ac:dyDescent="0.3">
      <c r="A18" s="21" t="s">
        <v>4</v>
      </c>
      <c r="B18" s="36" t="s">
        <v>3</v>
      </c>
      <c r="C18" s="89">
        <v>1</v>
      </c>
      <c r="D18" s="89">
        <v>1</v>
      </c>
      <c r="E18" s="89">
        <v>1</v>
      </c>
      <c r="F18" s="89">
        <v>1</v>
      </c>
      <c r="G18" s="29"/>
      <c r="H18" s="29"/>
      <c r="I18" s="29"/>
    </row>
    <row r="19" spans="1:12" s="18" customFormat="1" ht="21.95" customHeight="1" x14ac:dyDescent="0.3">
      <c r="A19" s="21" t="s">
        <v>22</v>
      </c>
      <c r="B19" s="34" t="s">
        <v>23</v>
      </c>
      <c r="C19" s="89">
        <f>C17/C18/12*1000</f>
        <v>383466.66666666669</v>
      </c>
      <c r="D19" s="89">
        <f>D17*1000/9/D18</f>
        <v>127822.22222222222</v>
      </c>
      <c r="E19" s="89">
        <f>E17*1000/3/E18</f>
        <v>411333.33333333331</v>
      </c>
      <c r="F19" s="89">
        <v>411333.3</v>
      </c>
      <c r="G19" s="29"/>
      <c r="H19" s="29"/>
      <c r="I19" s="29"/>
    </row>
    <row r="20" spans="1:12" s="18" customFormat="1" ht="25.5" x14ac:dyDescent="0.3">
      <c r="A20" s="20" t="s">
        <v>26</v>
      </c>
      <c r="B20" s="34" t="s">
        <v>2</v>
      </c>
      <c r="C20" s="89">
        <v>18184.400000000001</v>
      </c>
      <c r="D20" s="89">
        <f>C20/12*3</f>
        <v>4546.1000000000004</v>
      </c>
      <c r="E20" s="89">
        <f>4868.9+F20</f>
        <v>11437.099999999999</v>
      </c>
      <c r="F20" s="89">
        <v>6568.2</v>
      </c>
      <c r="G20" s="29"/>
      <c r="H20" s="29"/>
      <c r="I20" s="29"/>
    </row>
    <row r="21" spans="1:12" x14ac:dyDescent="0.3">
      <c r="A21" s="10" t="s">
        <v>4</v>
      </c>
      <c r="B21" s="36" t="s">
        <v>3</v>
      </c>
      <c r="C21" s="89">
        <v>8.9</v>
      </c>
      <c r="D21" s="89">
        <v>8.9</v>
      </c>
      <c r="E21" s="89">
        <v>5</v>
      </c>
      <c r="F21" s="89">
        <v>7</v>
      </c>
    </row>
    <row r="22" spans="1:12" ht="21.95" customHeight="1" x14ac:dyDescent="0.3">
      <c r="A22" s="10" t="s">
        <v>22</v>
      </c>
      <c r="B22" s="34" t="s">
        <v>23</v>
      </c>
      <c r="C22" s="89">
        <f>C20/C21/12*1000</f>
        <v>170265.91760299625</v>
      </c>
      <c r="D22" s="89">
        <f>D20*1000/9/D21</f>
        <v>56755.305867665418</v>
      </c>
      <c r="E22" s="89">
        <f>E20*1000/3/E21</f>
        <v>762473.33333333326</v>
      </c>
      <c r="F22" s="89">
        <v>312771.40000000002</v>
      </c>
    </row>
    <row r="23" spans="1:12" ht="39" x14ac:dyDescent="0.3">
      <c r="A23" s="14" t="s">
        <v>21</v>
      </c>
      <c r="B23" s="34" t="s">
        <v>2</v>
      </c>
      <c r="C23" s="89">
        <v>1520</v>
      </c>
      <c r="D23" s="89">
        <f>C23/12*3</f>
        <v>380</v>
      </c>
      <c r="E23" s="89">
        <f>380.1+F23</f>
        <v>745.8</v>
      </c>
      <c r="F23" s="89">
        <v>365.7</v>
      </c>
    </row>
    <row r="24" spans="1:12" x14ac:dyDescent="0.3">
      <c r="A24" s="10" t="s">
        <v>4</v>
      </c>
      <c r="B24" s="36" t="s">
        <v>3</v>
      </c>
      <c r="C24" s="89">
        <v>1</v>
      </c>
      <c r="D24" s="89">
        <v>1</v>
      </c>
      <c r="E24" s="89">
        <v>1</v>
      </c>
      <c r="F24" s="89">
        <v>1</v>
      </c>
    </row>
    <row r="25" spans="1:12" ht="21.95" customHeight="1" x14ac:dyDescent="0.3">
      <c r="A25" s="10" t="s">
        <v>22</v>
      </c>
      <c r="B25" s="34" t="s">
        <v>23</v>
      </c>
      <c r="C25" s="89">
        <v>126700</v>
      </c>
      <c r="D25" s="89">
        <v>126700</v>
      </c>
      <c r="E25" s="89">
        <v>126700</v>
      </c>
      <c r="F25" s="89">
        <v>121900</v>
      </c>
    </row>
    <row r="26" spans="1:12" ht="25.5" x14ac:dyDescent="0.3">
      <c r="A26" s="7" t="s">
        <v>19</v>
      </c>
      <c r="B26" s="34" t="s">
        <v>2</v>
      </c>
      <c r="C26" s="89">
        <v>5094</v>
      </c>
      <c r="D26" s="89">
        <f>C26/12*3</f>
        <v>1273.5</v>
      </c>
      <c r="E26" s="89">
        <f>2273.6+F26</f>
        <v>5425.2</v>
      </c>
      <c r="F26" s="89">
        <v>3151.6</v>
      </c>
    </row>
    <row r="27" spans="1:12" x14ac:dyDescent="0.3">
      <c r="A27" s="10" t="s">
        <v>4</v>
      </c>
      <c r="B27" s="36" t="s">
        <v>3</v>
      </c>
      <c r="C27" s="115">
        <v>9.75</v>
      </c>
      <c r="D27" s="115">
        <v>9.75</v>
      </c>
      <c r="E27" s="89">
        <v>12</v>
      </c>
      <c r="F27" s="89">
        <v>12</v>
      </c>
    </row>
    <row r="28" spans="1:12" ht="21.95" customHeight="1" x14ac:dyDescent="0.3">
      <c r="A28" s="10" t="s">
        <v>22</v>
      </c>
      <c r="B28" s="34" t="s">
        <v>23</v>
      </c>
      <c r="C28" s="89">
        <f>C26/C27/12*1000</f>
        <v>43538.461538461539</v>
      </c>
      <c r="D28" s="89">
        <f>D26*1000/9/D27</f>
        <v>14512.820512820514</v>
      </c>
      <c r="E28" s="89">
        <f>E26*1000/3/E27</f>
        <v>150700</v>
      </c>
      <c r="F28" s="89">
        <v>87544.4</v>
      </c>
    </row>
    <row r="29" spans="1:12" ht="25.5" x14ac:dyDescent="0.3">
      <c r="A29" s="5" t="s">
        <v>5</v>
      </c>
      <c r="B29" s="34" t="s">
        <v>2</v>
      </c>
      <c r="C29" s="89">
        <v>2014</v>
      </c>
      <c r="D29" s="89">
        <f>C29/12*3</f>
        <v>503.5</v>
      </c>
      <c r="E29" s="89">
        <f>903+F29</f>
        <v>2050.6</v>
      </c>
      <c r="F29" s="89">
        <v>1147.5999999999999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34" t="s">
        <v>2</v>
      </c>
      <c r="C30" s="91">
        <v>5960</v>
      </c>
      <c r="D30" s="89">
        <f>C30/12*3</f>
        <v>1490</v>
      </c>
      <c r="E30" s="91">
        <f>1619.4+F30</f>
        <v>1777.6000000000001</v>
      </c>
      <c r="F30" s="91">
        <v>158.19999999999999</v>
      </c>
      <c r="G30" s="72"/>
      <c r="H30" s="56"/>
      <c r="I30" s="56"/>
      <c r="J30" s="56"/>
      <c r="K30" s="56"/>
      <c r="L30" s="56"/>
    </row>
    <row r="31" spans="1:12" ht="25.5" x14ac:dyDescent="0.3">
      <c r="A31" s="12" t="s">
        <v>7</v>
      </c>
      <c r="B31" s="34" t="s">
        <v>2</v>
      </c>
      <c r="C31" s="91">
        <v>0</v>
      </c>
      <c r="D31" s="91">
        <v>0</v>
      </c>
      <c r="E31" s="91">
        <v>0</v>
      </c>
      <c r="F31" s="91">
        <v>0</v>
      </c>
      <c r="G31" s="72"/>
      <c r="H31" s="72"/>
      <c r="I31" s="72"/>
      <c r="J31" s="56"/>
      <c r="K31" s="56"/>
      <c r="L31" s="56"/>
    </row>
    <row r="32" spans="1:12" ht="36.75" x14ac:dyDescent="0.3">
      <c r="A32" s="12" t="s">
        <v>8</v>
      </c>
      <c r="B32" s="34" t="s">
        <v>2</v>
      </c>
      <c r="C32" s="91">
        <v>1100</v>
      </c>
      <c r="D32" s="89">
        <f>C32/12*3</f>
        <v>275</v>
      </c>
      <c r="E32" s="91">
        <v>0</v>
      </c>
      <c r="F32" s="91">
        <v>0</v>
      </c>
      <c r="G32" s="72"/>
      <c r="H32" s="72"/>
      <c r="I32" s="72"/>
      <c r="J32" s="56"/>
      <c r="K32" s="56"/>
      <c r="L32" s="56"/>
    </row>
    <row r="33" spans="1:12" ht="53.25" customHeight="1" x14ac:dyDescent="0.3">
      <c r="A33" s="12" t="s">
        <v>9</v>
      </c>
      <c r="B33" s="34" t="s">
        <v>2</v>
      </c>
      <c r="C33" s="91">
        <v>2168</v>
      </c>
      <c r="D33" s="89">
        <f>C33/12*3</f>
        <v>542</v>
      </c>
      <c r="E33" s="91">
        <v>18.600000000000001</v>
      </c>
      <c r="F33" s="91">
        <v>18.600000000000001</v>
      </c>
      <c r="G33" s="72"/>
      <c r="H33" s="72"/>
      <c r="I33" s="72"/>
      <c r="J33" s="56"/>
      <c r="K33" s="56"/>
      <c r="L33" s="56"/>
    </row>
    <row r="34" spans="1:12" x14ac:dyDescent="0.3">
      <c r="C34" s="18"/>
      <c r="D34" s="18"/>
      <c r="E34" s="18"/>
      <c r="F34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60" zoomScaleNormal="60" workbookViewId="0">
      <selection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" style="29" customWidth="1"/>
    <col min="8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54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66</v>
      </c>
      <c r="D9" s="124"/>
      <c r="E9" s="124"/>
      <c r="F9" s="73" t="s">
        <v>96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121</v>
      </c>
      <c r="D11" s="48">
        <v>121</v>
      </c>
      <c r="E11" s="48">
        <v>121</v>
      </c>
      <c r="F11" s="48">
        <v>120</v>
      </c>
    </row>
    <row r="12" spans="1:8" ht="25.5" x14ac:dyDescent="0.3">
      <c r="A12" s="10" t="s">
        <v>20</v>
      </c>
      <c r="B12" s="34" t="s">
        <v>2</v>
      </c>
      <c r="C12" s="27">
        <f>(C13-C32)/C11</f>
        <v>618</v>
      </c>
      <c r="D12" s="27">
        <f t="shared" ref="D12:E12" si="0">(D13-D32)/D11</f>
        <v>154.5</v>
      </c>
      <c r="E12" s="27">
        <f t="shared" si="0"/>
        <v>563.94958677685941</v>
      </c>
      <c r="F12" s="27"/>
    </row>
    <row r="13" spans="1:8" ht="25.5" x14ac:dyDescent="0.3">
      <c r="A13" s="5" t="s">
        <v>80</v>
      </c>
      <c r="B13" s="34" t="s">
        <v>2</v>
      </c>
      <c r="C13" s="70">
        <f>C15+C29+C30+C31+C32+C33</f>
        <v>75538</v>
      </c>
      <c r="D13" s="70">
        <f>D15+D29+D30+D31+D32+D33</f>
        <v>18884.5</v>
      </c>
      <c r="E13" s="70">
        <f>E15+E29+E30+E31+E32+E33</f>
        <v>68237.899999999994</v>
      </c>
      <c r="F13" s="69">
        <f>F15+F29+F30</f>
        <v>32185.1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81</v>
      </c>
      <c r="B15" s="34" t="s">
        <v>2</v>
      </c>
      <c r="C15" s="69">
        <f>C17+C20+C23+C26</f>
        <v>50532</v>
      </c>
      <c r="D15" s="69">
        <f t="shared" ref="D15:E15" si="2">D17+D20+D23+D26</f>
        <v>12633</v>
      </c>
      <c r="E15" s="69">
        <f t="shared" si="2"/>
        <v>53777.899999999994</v>
      </c>
      <c r="F15" s="69">
        <v>28034.1</v>
      </c>
      <c r="G15" s="49"/>
      <c r="H15" s="71"/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1" s="18" customFormat="1" ht="25.5" x14ac:dyDescent="0.3">
      <c r="A17" s="20" t="s">
        <v>25</v>
      </c>
      <c r="B17" s="17" t="s">
        <v>2</v>
      </c>
      <c r="C17" s="89">
        <v>8900</v>
      </c>
      <c r="D17" s="89">
        <f>C17/12*3</f>
        <v>2225</v>
      </c>
      <c r="E17" s="89">
        <f>2713.8+F17</f>
        <v>5180.1000000000004</v>
      </c>
      <c r="F17" s="89">
        <v>2466.3000000000002</v>
      </c>
      <c r="G17" s="49"/>
      <c r="H17" s="29"/>
    </row>
    <row r="18" spans="1:11" s="18" customFormat="1" x14ac:dyDescent="0.3">
      <c r="A18" s="21" t="s">
        <v>4</v>
      </c>
      <c r="B18" s="22" t="s">
        <v>3</v>
      </c>
      <c r="C18" s="89">
        <v>3</v>
      </c>
      <c r="D18" s="89">
        <v>3</v>
      </c>
      <c r="E18" s="89">
        <v>3</v>
      </c>
      <c r="F18" s="89">
        <v>3</v>
      </c>
      <c r="G18" s="29"/>
      <c r="H18" s="29"/>
    </row>
    <row r="19" spans="1:11" s="18" customFormat="1" ht="21.95" customHeight="1" x14ac:dyDescent="0.3">
      <c r="A19" s="21" t="s">
        <v>22</v>
      </c>
      <c r="B19" s="17" t="s">
        <v>23</v>
      </c>
      <c r="C19" s="89">
        <f>C17/C18/12*1000</f>
        <v>247222.22222222219</v>
      </c>
      <c r="D19" s="89">
        <f>D17*1000/9/D18</f>
        <v>82407.407407407401</v>
      </c>
      <c r="E19" s="89">
        <f>E17*1000/3/E18</f>
        <v>575566.66666666663</v>
      </c>
      <c r="F19" s="89">
        <v>274033.3</v>
      </c>
      <c r="G19" s="29"/>
      <c r="H19" s="29"/>
    </row>
    <row r="20" spans="1:11" s="18" customFormat="1" ht="25.5" x14ac:dyDescent="0.3">
      <c r="A20" s="20" t="s">
        <v>26</v>
      </c>
      <c r="B20" s="17" t="s">
        <v>2</v>
      </c>
      <c r="C20" s="89">
        <v>24232</v>
      </c>
      <c r="D20" s="89">
        <f>C20/12*3</f>
        <v>6058</v>
      </c>
      <c r="E20" s="89">
        <f>16361.6+F20</f>
        <v>33227.5</v>
      </c>
      <c r="F20" s="89">
        <v>16865.900000000001</v>
      </c>
      <c r="G20" s="49"/>
      <c r="H20" s="29"/>
    </row>
    <row r="21" spans="1:11" x14ac:dyDescent="0.3">
      <c r="A21" s="10" t="s">
        <v>4</v>
      </c>
      <c r="B21" s="22" t="s">
        <v>3</v>
      </c>
      <c r="C21" s="89">
        <v>22.3</v>
      </c>
      <c r="D21" s="89">
        <v>22.3</v>
      </c>
      <c r="E21" s="89">
        <v>21</v>
      </c>
      <c r="F21" s="89">
        <v>21</v>
      </c>
    </row>
    <row r="22" spans="1:11" ht="21.95" customHeight="1" x14ac:dyDescent="0.3">
      <c r="A22" s="10" t="s">
        <v>22</v>
      </c>
      <c r="B22" s="17" t="s">
        <v>23</v>
      </c>
      <c r="C22" s="89">
        <f>C20/C21/12*1000</f>
        <v>90553.064275037352</v>
      </c>
      <c r="D22" s="89">
        <f>D20*1000/9/D21</f>
        <v>30184.354758345788</v>
      </c>
      <c r="E22" s="89">
        <f>E20*1000/3/E21</f>
        <v>527420.63492063491</v>
      </c>
      <c r="F22" s="89">
        <v>267712.7</v>
      </c>
    </row>
    <row r="23" spans="1:11" ht="39" x14ac:dyDescent="0.3">
      <c r="A23" s="14" t="s">
        <v>21</v>
      </c>
      <c r="B23" s="17" t="s">
        <v>2</v>
      </c>
      <c r="C23" s="89">
        <v>8300</v>
      </c>
      <c r="D23" s="89">
        <f>C23/12*3</f>
        <v>2075</v>
      </c>
      <c r="E23" s="89">
        <f>1840.6+F23</f>
        <v>3669.7</v>
      </c>
      <c r="F23" s="89">
        <v>1829.1</v>
      </c>
      <c r="G23" s="49"/>
    </row>
    <row r="24" spans="1:11" x14ac:dyDescent="0.3">
      <c r="A24" s="10" t="s">
        <v>4</v>
      </c>
      <c r="B24" s="22" t="s">
        <v>3</v>
      </c>
      <c r="C24" s="89">
        <v>2</v>
      </c>
      <c r="D24" s="89">
        <v>2</v>
      </c>
      <c r="E24" s="89">
        <v>3</v>
      </c>
      <c r="F24" s="89">
        <v>3</v>
      </c>
    </row>
    <row r="25" spans="1:11" ht="21.95" customHeight="1" x14ac:dyDescent="0.3">
      <c r="A25" s="10" t="s">
        <v>22</v>
      </c>
      <c r="B25" s="17" t="s">
        <v>23</v>
      </c>
      <c r="C25" s="89">
        <f>C23/C24/12*1000</f>
        <v>345833.33333333331</v>
      </c>
      <c r="D25" s="89">
        <f>D23*1000/9/D24</f>
        <v>115277.77777777778</v>
      </c>
      <c r="E25" s="89">
        <f>E23*1000/3/E24</f>
        <v>407744.44444444444</v>
      </c>
      <c r="F25" s="89">
        <v>203233.3</v>
      </c>
    </row>
    <row r="26" spans="1:11" ht="25.5" x14ac:dyDescent="0.3">
      <c r="A26" s="7" t="s">
        <v>19</v>
      </c>
      <c r="B26" s="17" t="s">
        <v>2</v>
      </c>
      <c r="C26" s="89">
        <v>9100</v>
      </c>
      <c r="D26" s="89">
        <f>C26/12*3</f>
        <v>2275</v>
      </c>
      <c r="E26" s="89">
        <f>4827.8+F26</f>
        <v>11700.6</v>
      </c>
      <c r="F26" s="89">
        <v>6872.8</v>
      </c>
      <c r="G26" s="49"/>
    </row>
    <row r="27" spans="1:11" x14ac:dyDescent="0.3">
      <c r="A27" s="10" t="s">
        <v>4</v>
      </c>
      <c r="B27" s="22" t="s">
        <v>3</v>
      </c>
      <c r="C27" s="89">
        <v>11.5</v>
      </c>
      <c r="D27" s="89">
        <v>11.5</v>
      </c>
      <c r="E27" s="89">
        <v>30</v>
      </c>
      <c r="F27" s="89">
        <v>32</v>
      </c>
    </row>
    <row r="28" spans="1:11" ht="21.95" customHeight="1" x14ac:dyDescent="0.3">
      <c r="A28" s="10" t="s">
        <v>22</v>
      </c>
      <c r="B28" s="17" t="s">
        <v>23</v>
      </c>
      <c r="C28" s="89">
        <f>C26/C27/12*1000</f>
        <v>65942.028985507248</v>
      </c>
      <c r="D28" s="89">
        <f>D26*1000/9/D27</f>
        <v>21980.676328502417</v>
      </c>
      <c r="E28" s="89">
        <f>E26*1000/3/E27</f>
        <v>130006.66666666667</v>
      </c>
      <c r="F28" s="89">
        <v>71591.7</v>
      </c>
    </row>
    <row r="29" spans="1:11" ht="25.5" x14ac:dyDescent="0.3">
      <c r="A29" s="5" t="s">
        <v>5</v>
      </c>
      <c r="B29" s="17" t="s">
        <v>2</v>
      </c>
      <c r="C29" s="89">
        <v>4369</v>
      </c>
      <c r="D29" s="89">
        <f>C29/12*3</f>
        <v>1092.25</v>
      </c>
      <c r="E29" s="89">
        <f>2710.7+F29</f>
        <v>5697.7</v>
      </c>
      <c r="F29" s="89">
        <v>2987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17" t="s">
        <v>2</v>
      </c>
      <c r="C30" s="91">
        <v>9640</v>
      </c>
      <c r="D30" s="89">
        <f>C30/12*3</f>
        <v>2410</v>
      </c>
      <c r="E30" s="91">
        <f>7567.8+F30</f>
        <v>8731.7999999999993</v>
      </c>
      <c r="F30" s="91">
        <v>1164</v>
      </c>
      <c r="G30" s="43"/>
      <c r="H30" s="43"/>
      <c r="I30" s="47"/>
      <c r="J30" s="47"/>
      <c r="K30" s="47"/>
    </row>
    <row r="31" spans="1:11" ht="25.5" x14ac:dyDescent="0.3">
      <c r="A31" s="12" t="s">
        <v>7</v>
      </c>
      <c r="B31" s="17" t="s">
        <v>2</v>
      </c>
      <c r="C31" s="91">
        <v>150</v>
      </c>
      <c r="D31" s="89">
        <f>C31/12*3</f>
        <v>37.5</v>
      </c>
      <c r="E31" s="91">
        <v>0</v>
      </c>
      <c r="F31" s="91">
        <v>0</v>
      </c>
      <c r="G31" s="62"/>
      <c r="H31" s="62"/>
      <c r="I31" s="63"/>
      <c r="J31" s="63"/>
      <c r="K31" s="63"/>
    </row>
    <row r="32" spans="1:11" ht="36.75" x14ac:dyDescent="0.3">
      <c r="A32" s="12" t="s">
        <v>8</v>
      </c>
      <c r="B32" s="17" t="s">
        <v>2</v>
      </c>
      <c r="C32" s="91">
        <v>760</v>
      </c>
      <c r="D32" s="89">
        <f>C32/12*3</f>
        <v>190</v>
      </c>
      <c r="E32" s="91">
        <v>0</v>
      </c>
      <c r="F32" s="91">
        <v>0</v>
      </c>
    </row>
    <row r="33" spans="1:6" ht="60" customHeight="1" x14ac:dyDescent="0.3">
      <c r="A33" s="12" t="s">
        <v>9</v>
      </c>
      <c r="B33" s="17" t="s">
        <v>2</v>
      </c>
      <c r="C33" s="91">
        <v>10087</v>
      </c>
      <c r="D33" s="89">
        <f>C33/12*3</f>
        <v>2521.75</v>
      </c>
      <c r="E33" s="91">
        <v>30.5</v>
      </c>
      <c r="F33" s="91">
        <v>30.5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H31" sqref="H31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3" width="12" style="29" customWidth="1"/>
    <col min="4" max="4" width="16.42578125" style="29" customWidth="1"/>
    <col min="5" max="5" width="13.140625" style="29" customWidth="1"/>
    <col min="6" max="6" width="18.140625" style="29" customWidth="1"/>
    <col min="7" max="7" width="8.42578125" style="29" customWidth="1"/>
    <col min="8" max="8" width="12" style="2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55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35</v>
      </c>
      <c r="D9" s="124"/>
      <c r="E9" s="124"/>
      <c r="F9" s="119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 t="s">
        <v>100</v>
      </c>
    </row>
    <row r="11" spans="1:8" x14ac:dyDescent="0.3">
      <c r="A11" s="5" t="s">
        <v>18</v>
      </c>
      <c r="B11" s="34" t="s">
        <v>10</v>
      </c>
      <c r="C11" s="48">
        <v>70</v>
      </c>
      <c r="D11" s="48">
        <v>70</v>
      </c>
      <c r="E11" s="48">
        <v>70</v>
      </c>
      <c r="F11" s="48"/>
    </row>
    <row r="12" spans="1:8" ht="25.5" x14ac:dyDescent="0.3">
      <c r="A12" s="10" t="s">
        <v>20</v>
      </c>
      <c r="B12" s="34" t="s">
        <v>2</v>
      </c>
      <c r="C12" s="27">
        <f>(C13-C32)/C11</f>
        <v>944.7285714285714</v>
      </c>
      <c r="D12" s="27">
        <f t="shared" ref="D12:E12" si="0">(D13-D32)/D11</f>
        <v>236.18214285714285</v>
      </c>
      <c r="E12" s="27">
        <f t="shared" si="0"/>
        <v>690.14857142857147</v>
      </c>
      <c r="F12" s="27"/>
    </row>
    <row r="13" spans="1:8" ht="25.5" x14ac:dyDescent="0.3">
      <c r="A13" s="5" t="s">
        <v>31</v>
      </c>
      <c r="B13" s="34" t="s">
        <v>2</v>
      </c>
      <c r="C13" s="70">
        <f>C15+C29+C30+C31+C32+C33</f>
        <v>67891</v>
      </c>
      <c r="D13" s="70">
        <f>D15+D29+D30+D31+D32+D33</f>
        <v>16972.75</v>
      </c>
      <c r="E13" s="70">
        <f>E15+E29+E30+E31+E32+E33</f>
        <v>48310.400000000001</v>
      </c>
      <c r="F13" s="69">
        <f>F15+F29+F30</f>
        <v>22478.500000000004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75</v>
      </c>
      <c r="B15" s="34" t="s">
        <v>2</v>
      </c>
      <c r="C15" s="69">
        <f>C17+C20+C23+C26</f>
        <v>48408</v>
      </c>
      <c r="D15" s="69">
        <f t="shared" ref="D15" si="2">D17+D20+D23+D26</f>
        <v>12102</v>
      </c>
      <c r="E15" s="69">
        <f>17047.6+F15</f>
        <v>36655</v>
      </c>
      <c r="F15" s="69">
        <v>19607.400000000001</v>
      </c>
    </row>
    <row r="16" spans="1:8" x14ac:dyDescent="0.3">
      <c r="A16" s="8" t="s">
        <v>1</v>
      </c>
      <c r="B16" s="35"/>
      <c r="C16" s="26"/>
      <c r="D16" s="26"/>
      <c r="E16" s="26"/>
      <c r="F16" s="26"/>
    </row>
    <row r="17" spans="1:11" s="18" customFormat="1" ht="25.5" x14ac:dyDescent="0.3">
      <c r="A17" s="20" t="s">
        <v>25</v>
      </c>
      <c r="B17" s="34" t="s">
        <v>2</v>
      </c>
      <c r="C17" s="46">
        <v>2958</v>
      </c>
      <c r="D17" s="46">
        <f>C17/12*3</f>
        <v>739.5</v>
      </c>
      <c r="E17" s="46">
        <f>964.5+F17</f>
        <v>2084.1</v>
      </c>
      <c r="F17" s="48">
        <v>1119.5999999999999</v>
      </c>
      <c r="G17" s="29"/>
    </row>
    <row r="18" spans="1:11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0">
        <v>1</v>
      </c>
      <c r="F18" s="26">
        <v>1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123250</v>
      </c>
      <c r="D19" s="27">
        <f>D17*1000/9/D18</f>
        <v>41083.333333333336</v>
      </c>
      <c r="E19" s="27">
        <f>E17*1000/3/E18</f>
        <v>694700</v>
      </c>
      <c r="F19" s="27">
        <v>373166.7</v>
      </c>
      <c r="G19" s="29"/>
    </row>
    <row r="20" spans="1:11" s="18" customFormat="1" ht="25.5" x14ac:dyDescent="0.3">
      <c r="A20" s="20" t="s">
        <v>26</v>
      </c>
      <c r="B20" s="34" t="s">
        <v>2</v>
      </c>
      <c r="C20" s="20">
        <v>33599</v>
      </c>
      <c r="D20" s="20">
        <f>C20/12*3</f>
        <v>8399.75</v>
      </c>
      <c r="E20" s="20">
        <f>12580.3+F20</f>
        <v>26217.9</v>
      </c>
      <c r="F20" s="91">
        <v>13637.6</v>
      </c>
      <c r="G20" s="29"/>
    </row>
    <row r="21" spans="1:11" x14ac:dyDescent="0.3">
      <c r="A21" s="10" t="s">
        <v>4</v>
      </c>
      <c r="B21" s="36" t="s">
        <v>3</v>
      </c>
      <c r="C21" s="20">
        <v>17.899999999999999</v>
      </c>
      <c r="D21" s="20">
        <v>17.899999999999999</v>
      </c>
      <c r="E21" s="20">
        <v>13</v>
      </c>
      <c r="F21" s="91">
        <v>16</v>
      </c>
    </row>
    <row r="22" spans="1:11" ht="21.95" customHeight="1" x14ac:dyDescent="0.3">
      <c r="A22" s="10" t="s">
        <v>22</v>
      </c>
      <c r="B22" s="34" t="s">
        <v>23</v>
      </c>
      <c r="C22" s="89">
        <f>C20/C21/12*1000</f>
        <v>156419.9255121043</v>
      </c>
      <c r="D22" s="89">
        <f>D20*1000/9/D21</f>
        <v>52139.975170701429</v>
      </c>
      <c r="E22" s="89">
        <f>E20*1000/3/E21</f>
        <v>672253.84615384613</v>
      </c>
      <c r="F22" s="89">
        <v>284116.7</v>
      </c>
    </row>
    <row r="23" spans="1:11" ht="39" x14ac:dyDescent="0.3">
      <c r="A23" s="14" t="s">
        <v>21</v>
      </c>
      <c r="B23" s="34" t="s">
        <v>2</v>
      </c>
      <c r="C23" s="20">
        <v>3786</v>
      </c>
      <c r="D23" s="20">
        <f>C23/12*3</f>
        <v>946.5</v>
      </c>
      <c r="E23" s="20">
        <f>946.5+F23</f>
        <v>1861.2</v>
      </c>
      <c r="F23" s="91">
        <v>914.7</v>
      </c>
    </row>
    <row r="24" spans="1:11" x14ac:dyDescent="0.3">
      <c r="A24" s="10" t="s">
        <v>4</v>
      </c>
      <c r="B24" s="36" t="s">
        <v>3</v>
      </c>
      <c r="C24" s="20">
        <v>2.5</v>
      </c>
      <c r="D24" s="20">
        <v>2.5</v>
      </c>
      <c r="E24" s="20">
        <v>3</v>
      </c>
      <c r="F24" s="91">
        <v>2</v>
      </c>
    </row>
    <row r="25" spans="1:11" ht="21.95" customHeight="1" x14ac:dyDescent="0.3">
      <c r="A25" s="10" t="s">
        <v>22</v>
      </c>
      <c r="B25" s="34" t="s">
        <v>23</v>
      </c>
      <c r="C25" s="89">
        <f>C23/C24/12*1000</f>
        <v>126200</v>
      </c>
      <c r="D25" s="89">
        <f>D23*1000/9/D24</f>
        <v>42066.666666666672</v>
      </c>
      <c r="E25" s="89">
        <f>E23*1000/3/E24</f>
        <v>206800</v>
      </c>
      <c r="F25" s="89">
        <v>152450</v>
      </c>
    </row>
    <row r="26" spans="1:11" ht="25.5" x14ac:dyDescent="0.3">
      <c r="A26" s="7" t="s">
        <v>19</v>
      </c>
      <c r="B26" s="34" t="s">
        <v>2</v>
      </c>
      <c r="C26" s="20">
        <v>8065</v>
      </c>
      <c r="D26" s="20">
        <f>C26/12*3</f>
        <v>2016.25</v>
      </c>
      <c r="E26" s="20">
        <f>2556.3+F26</f>
        <v>6491.9</v>
      </c>
      <c r="F26" s="91">
        <v>3935.6</v>
      </c>
    </row>
    <row r="27" spans="1:11" x14ac:dyDescent="0.3">
      <c r="A27" s="10" t="s">
        <v>4</v>
      </c>
      <c r="B27" s="36" t="s">
        <v>3</v>
      </c>
      <c r="C27" s="20">
        <v>10.5</v>
      </c>
      <c r="D27" s="20">
        <v>10.5</v>
      </c>
      <c r="E27" s="20">
        <v>15</v>
      </c>
      <c r="F27" s="91">
        <v>15</v>
      </c>
    </row>
    <row r="28" spans="1:11" ht="21.95" customHeight="1" x14ac:dyDescent="0.3">
      <c r="A28" s="10" t="s">
        <v>22</v>
      </c>
      <c r="B28" s="34" t="s">
        <v>23</v>
      </c>
      <c r="C28" s="89">
        <f>C26/C27/12*1000</f>
        <v>64007.936507936509</v>
      </c>
      <c r="D28" s="89">
        <f>D26*1000/9/D27</f>
        <v>21335.978835978836</v>
      </c>
      <c r="E28" s="89">
        <f>E26*1000/3/E27</f>
        <v>144264.44444444444</v>
      </c>
      <c r="F28" s="89">
        <v>87457.8</v>
      </c>
    </row>
    <row r="29" spans="1:11" ht="25.5" x14ac:dyDescent="0.3">
      <c r="A29" s="5" t="s">
        <v>5</v>
      </c>
      <c r="B29" s="34" t="s">
        <v>2</v>
      </c>
      <c r="C29" s="91">
        <v>3223</v>
      </c>
      <c r="D29" s="20">
        <f>C29/12*3</f>
        <v>805.75</v>
      </c>
      <c r="E29" s="91">
        <v>1751.3</v>
      </c>
      <c r="F29" s="89">
        <v>2002.2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1">
        <v>11801</v>
      </c>
      <c r="D30" s="20">
        <f>C30/12*3</f>
        <v>2950.25</v>
      </c>
      <c r="E30" s="89">
        <f>9015.2+F30</f>
        <v>9884.1</v>
      </c>
      <c r="F30" s="89">
        <v>868.9</v>
      </c>
      <c r="G30" s="43"/>
      <c r="H30" s="43"/>
      <c r="I30" s="47"/>
      <c r="J30" s="47"/>
      <c r="K30" s="47"/>
    </row>
    <row r="31" spans="1:11" ht="25.5" x14ac:dyDescent="0.3">
      <c r="A31" s="12" t="s">
        <v>7</v>
      </c>
      <c r="B31" s="34" t="s">
        <v>2</v>
      </c>
      <c r="C31" s="91">
        <v>150</v>
      </c>
      <c r="D31" s="20">
        <f>C31/12*3</f>
        <v>37.5</v>
      </c>
      <c r="E31" s="91">
        <v>0</v>
      </c>
      <c r="F31" s="89">
        <v>0</v>
      </c>
      <c r="G31" s="62"/>
      <c r="H31" s="63"/>
      <c r="I31" s="63"/>
      <c r="J31" s="63"/>
      <c r="K31" s="63"/>
    </row>
    <row r="32" spans="1:11" ht="36.75" x14ac:dyDescent="0.3">
      <c r="A32" s="12" t="s">
        <v>8</v>
      </c>
      <c r="B32" s="34" t="s">
        <v>2</v>
      </c>
      <c r="C32" s="91">
        <v>1760</v>
      </c>
      <c r="D32" s="20">
        <f>C32/12*3</f>
        <v>440</v>
      </c>
      <c r="E32" s="89">
        <v>0</v>
      </c>
      <c r="F32" s="89">
        <v>0</v>
      </c>
    </row>
    <row r="33" spans="1:7" ht="65.25" customHeight="1" x14ac:dyDescent="0.3">
      <c r="A33" s="12" t="s">
        <v>9</v>
      </c>
      <c r="B33" s="34" t="s">
        <v>2</v>
      </c>
      <c r="C33" s="91">
        <v>2549</v>
      </c>
      <c r="D33" s="20">
        <f>C33/12*3</f>
        <v>637.25</v>
      </c>
      <c r="E33" s="89">
        <v>20</v>
      </c>
      <c r="F33" s="89">
        <v>20</v>
      </c>
      <c r="G33" s="29">
        <v>20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zoomScale="70" zoomScaleNormal="70" workbookViewId="0">
      <selection activeCell="I7" sqref="I7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4.140625" style="31" customWidth="1"/>
    <col min="5" max="6" width="13.140625" style="31" customWidth="1"/>
    <col min="7" max="16384" width="9.140625" style="2"/>
  </cols>
  <sheetData>
    <row r="1" spans="1:6" x14ac:dyDescent="0.3">
      <c r="A1" s="120" t="s">
        <v>12</v>
      </c>
      <c r="B1" s="120"/>
      <c r="C1" s="120"/>
      <c r="D1" s="120"/>
      <c r="E1" s="120"/>
      <c r="F1" s="60"/>
    </row>
    <row r="2" spans="1:6" x14ac:dyDescent="0.3">
      <c r="A2" s="120" t="s">
        <v>105</v>
      </c>
      <c r="B2" s="120"/>
      <c r="C2" s="120"/>
      <c r="D2" s="120"/>
      <c r="E2" s="120"/>
      <c r="F2" s="60"/>
    </row>
    <row r="3" spans="1:6" x14ac:dyDescent="0.3">
      <c r="A3" s="1"/>
    </row>
    <row r="4" spans="1:6" ht="44.25" customHeight="1" x14ac:dyDescent="0.3">
      <c r="A4" s="127" t="s">
        <v>37</v>
      </c>
      <c r="B4" s="127"/>
      <c r="C4" s="127"/>
      <c r="D4" s="127"/>
      <c r="E4" s="127"/>
      <c r="F4" s="61"/>
    </row>
    <row r="5" spans="1:6" ht="30" customHeight="1" x14ac:dyDescent="0.3">
      <c r="A5" s="128" t="s">
        <v>36</v>
      </c>
      <c r="B5" s="129"/>
      <c r="C5" s="129"/>
      <c r="D5" s="129"/>
      <c r="E5" s="129"/>
      <c r="F5" s="61"/>
    </row>
    <row r="6" spans="1:6" ht="15.75" customHeight="1" x14ac:dyDescent="0.3">
      <c r="A6" s="121" t="s">
        <v>13</v>
      </c>
      <c r="B6" s="121"/>
      <c r="C6" s="121"/>
      <c r="D6" s="121"/>
      <c r="E6" s="121"/>
      <c r="F6" s="59"/>
    </row>
    <row r="7" spans="1:6" x14ac:dyDescent="0.3">
      <c r="A7" s="4"/>
    </row>
    <row r="8" spans="1:6" x14ac:dyDescent="0.3">
      <c r="A8" s="13" t="s">
        <v>14</v>
      </c>
    </row>
    <row r="9" spans="1:6" x14ac:dyDescent="0.3">
      <c r="A9" s="1"/>
    </row>
    <row r="10" spans="1:6" x14ac:dyDescent="0.3">
      <c r="A10" s="122" t="s">
        <v>24</v>
      </c>
      <c r="B10" s="123" t="s">
        <v>15</v>
      </c>
      <c r="C10" s="124" t="s">
        <v>38</v>
      </c>
      <c r="D10" s="124"/>
      <c r="E10" s="124"/>
      <c r="F10" s="108" t="s">
        <v>109</v>
      </c>
    </row>
    <row r="11" spans="1:6" ht="40.5" x14ac:dyDescent="0.3">
      <c r="A11" s="122"/>
      <c r="B11" s="123"/>
      <c r="C11" s="32" t="s">
        <v>16</v>
      </c>
      <c r="D11" s="32" t="s">
        <v>17</v>
      </c>
      <c r="E11" s="33" t="s">
        <v>11</v>
      </c>
      <c r="F11" s="33"/>
    </row>
    <row r="12" spans="1:6" x14ac:dyDescent="0.3">
      <c r="A12" s="5" t="s">
        <v>18</v>
      </c>
      <c r="B12" s="34" t="s">
        <v>10</v>
      </c>
      <c r="C12" s="45">
        <v>485</v>
      </c>
      <c r="D12" s="45">
        <v>485</v>
      </c>
      <c r="E12" s="45">
        <v>485</v>
      </c>
      <c r="F12" s="45">
        <v>485</v>
      </c>
    </row>
    <row r="13" spans="1:6" ht="25.5" x14ac:dyDescent="0.3">
      <c r="A13" s="10" t="s">
        <v>20</v>
      </c>
      <c r="B13" s="34" t="s">
        <v>2</v>
      </c>
      <c r="C13" s="27">
        <f t="shared" ref="C13" si="0">(C14-C33)/C12</f>
        <v>398.48659793814431</v>
      </c>
      <c r="D13" s="27">
        <f t="shared" ref="D13:E13" si="1">(D14-D33)/D12</f>
        <v>139.70618556701032</v>
      </c>
      <c r="E13" s="27">
        <f t="shared" si="1"/>
        <v>168.67134020618559</v>
      </c>
      <c r="F13" s="27"/>
    </row>
    <row r="14" spans="1:6" ht="25.5" x14ac:dyDescent="0.3">
      <c r="A14" s="5" t="s">
        <v>71</v>
      </c>
      <c r="B14" s="34" t="s">
        <v>2</v>
      </c>
      <c r="C14" s="69">
        <f>C16+C30+C31+C32+C33+C34</f>
        <v>201206</v>
      </c>
      <c r="D14" s="69">
        <f>D16+D30+D31+D32+D33+D34</f>
        <v>67757.5</v>
      </c>
      <c r="E14" s="69">
        <f>E16+E30+E31+E32+E33+E34</f>
        <v>108644.6</v>
      </c>
      <c r="F14" s="69">
        <f>F16+F30+F31+F32+F33+F34</f>
        <v>86364.6</v>
      </c>
    </row>
    <row r="15" spans="1:6" x14ac:dyDescent="0.3">
      <c r="A15" s="8" t="s">
        <v>0</v>
      </c>
      <c r="B15" s="35"/>
      <c r="C15" s="27">
        <v>0</v>
      </c>
      <c r="D15" s="27">
        <f t="shared" ref="D15" si="2">C15</f>
        <v>0</v>
      </c>
      <c r="E15" s="27">
        <v>0</v>
      </c>
      <c r="F15" s="27"/>
    </row>
    <row r="16" spans="1:6" ht="25.5" x14ac:dyDescent="0.3">
      <c r="A16" s="5" t="s">
        <v>72</v>
      </c>
      <c r="B16" s="34" t="s">
        <v>2</v>
      </c>
      <c r="C16" s="69">
        <f>C18+C21+C24+C27</f>
        <v>155916</v>
      </c>
      <c r="D16" s="69">
        <f>D18+D21+D24+D27</f>
        <v>45698</v>
      </c>
      <c r="E16" s="69">
        <v>44804.7</v>
      </c>
      <c r="F16" s="69">
        <v>49033</v>
      </c>
    </row>
    <row r="17" spans="1:7" x14ac:dyDescent="0.3">
      <c r="A17" s="8" t="s">
        <v>1</v>
      </c>
      <c r="B17" s="35"/>
      <c r="C17" s="26"/>
      <c r="D17" s="26"/>
      <c r="E17" s="26"/>
      <c r="F17" s="26"/>
    </row>
    <row r="18" spans="1:7" s="18" customFormat="1" ht="25.5" x14ac:dyDescent="0.3">
      <c r="A18" s="20" t="s">
        <v>25</v>
      </c>
      <c r="B18" s="34" t="s">
        <v>2</v>
      </c>
      <c r="C18" s="46">
        <v>20240</v>
      </c>
      <c r="D18" s="46">
        <f>C18/12*3</f>
        <v>5060</v>
      </c>
      <c r="E18" s="46">
        <f>5060.2+F18</f>
        <v>7767.9</v>
      </c>
      <c r="F18" s="46">
        <v>2707.7</v>
      </c>
    </row>
    <row r="19" spans="1:7" s="18" customFormat="1" x14ac:dyDescent="0.3">
      <c r="A19" s="21" t="s">
        <v>4</v>
      </c>
      <c r="B19" s="36" t="s">
        <v>3</v>
      </c>
      <c r="C19" s="20">
        <v>4</v>
      </c>
      <c r="D19" s="20">
        <v>4</v>
      </c>
      <c r="E19" s="26">
        <v>5</v>
      </c>
      <c r="F19" s="26">
        <v>6</v>
      </c>
    </row>
    <row r="20" spans="1:7" s="18" customFormat="1" ht="21.95" customHeight="1" x14ac:dyDescent="0.3">
      <c r="A20" s="21" t="s">
        <v>22</v>
      </c>
      <c r="B20" s="34" t="s">
        <v>23</v>
      </c>
      <c r="C20" s="27">
        <f>C18*1000/12/C19</f>
        <v>421666.66666666669</v>
      </c>
      <c r="D20" s="27">
        <f>D18*1000/3/D19</f>
        <v>421666.66666666669</v>
      </c>
      <c r="E20" s="27">
        <v>1012040</v>
      </c>
      <c r="F20" s="27">
        <v>451283.3</v>
      </c>
    </row>
    <row r="21" spans="1:7" s="18" customFormat="1" ht="25.5" x14ac:dyDescent="0.3">
      <c r="A21" s="20" t="s">
        <v>29</v>
      </c>
      <c r="B21" s="34" t="s">
        <v>2</v>
      </c>
      <c r="C21" s="46">
        <v>114520</v>
      </c>
      <c r="D21" s="46">
        <f>C21/12*3</f>
        <v>28630</v>
      </c>
      <c r="E21" s="46">
        <f>33630+F21</f>
        <v>50721.2</v>
      </c>
      <c r="F21" s="46">
        <v>17091.2</v>
      </c>
    </row>
    <row r="22" spans="1:7" x14ac:dyDescent="0.3">
      <c r="A22" s="10" t="s">
        <v>4</v>
      </c>
      <c r="B22" s="36" t="s">
        <v>3</v>
      </c>
      <c r="C22" s="20">
        <v>43.9</v>
      </c>
      <c r="D22" s="20">
        <v>43.9</v>
      </c>
      <c r="E22" s="26">
        <v>40</v>
      </c>
      <c r="F22" s="26">
        <v>41</v>
      </c>
    </row>
    <row r="23" spans="1:7" ht="21.95" customHeight="1" x14ac:dyDescent="0.3">
      <c r="A23" s="10" t="s">
        <v>22</v>
      </c>
      <c r="B23" s="34" t="s">
        <v>23</v>
      </c>
      <c r="C23" s="27">
        <f>C21*1000/12/C22</f>
        <v>217388.00303720578</v>
      </c>
      <c r="D23" s="27">
        <f>D21*1000/3/D22</f>
        <v>217388.00303720578</v>
      </c>
      <c r="E23" s="27">
        <f>E21*1000/3/E22</f>
        <v>422676.66666666669</v>
      </c>
      <c r="F23" s="27">
        <v>138952.79999999999</v>
      </c>
    </row>
    <row r="24" spans="1:7" ht="39" x14ac:dyDescent="0.3">
      <c r="A24" s="14" t="s">
        <v>21</v>
      </c>
      <c r="B24" s="34" t="s">
        <v>2</v>
      </c>
      <c r="C24" s="46">
        <v>6340</v>
      </c>
      <c r="D24" s="46">
        <f>C24/12*3</f>
        <v>1585</v>
      </c>
      <c r="E24" s="46">
        <f>1584.7+F24</f>
        <v>3047.4</v>
      </c>
      <c r="F24" s="46">
        <v>1462.7</v>
      </c>
    </row>
    <row r="25" spans="1:7" x14ac:dyDescent="0.3">
      <c r="A25" s="10" t="s">
        <v>4</v>
      </c>
      <c r="B25" s="36" t="s">
        <v>3</v>
      </c>
      <c r="C25" s="20">
        <v>12</v>
      </c>
      <c r="D25" s="20">
        <v>12</v>
      </c>
      <c r="E25" s="26">
        <v>5</v>
      </c>
      <c r="F25" s="26">
        <v>5</v>
      </c>
    </row>
    <row r="26" spans="1:7" ht="21.95" customHeight="1" x14ac:dyDescent="0.3">
      <c r="A26" s="10" t="s">
        <v>22</v>
      </c>
      <c r="B26" s="34" t="s">
        <v>23</v>
      </c>
      <c r="C26" s="27">
        <f>C24*1000/12/C25</f>
        <v>44027.777777777781</v>
      </c>
      <c r="D26" s="27">
        <f>D24*1000/3/D25</f>
        <v>44027.777777777781</v>
      </c>
      <c r="E26" s="27">
        <v>316940</v>
      </c>
      <c r="F26" s="27">
        <v>292540</v>
      </c>
    </row>
    <row r="27" spans="1:7" ht="25.5" x14ac:dyDescent="0.3">
      <c r="A27" s="7" t="s">
        <v>19</v>
      </c>
      <c r="B27" s="34" t="s">
        <v>2</v>
      </c>
      <c r="C27" s="46">
        <v>14816</v>
      </c>
      <c r="D27" s="46">
        <v>10423</v>
      </c>
      <c r="E27" s="46">
        <f>4529.8+F27</f>
        <v>7461.2000000000007</v>
      </c>
      <c r="F27" s="46">
        <v>2931.4</v>
      </c>
    </row>
    <row r="28" spans="1:7" x14ac:dyDescent="0.3">
      <c r="A28" s="10" t="s">
        <v>4</v>
      </c>
      <c r="B28" s="36" t="s">
        <v>3</v>
      </c>
      <c r="C28" s="20">
        <v>22.75</v>
      </c>
      <c r="D28" s="20">
        <v>22.75</v>
      </c>
      <c r="E28" s="26">
        <v>22</v>
      </c>
      <c r="F28" s="26">
        <v>17</v>
      </c>
    </row>
    <row r="29" spans="1:7" ht="21.95" customHeight="1" x14ac:dyDescent="0.3">
      <c r="A29" s="10" t="s">
        <v>22</v>
      </c>
      <c r="B29" s="34" t="s">
        <v>23</v>
      </c>
      <c r="C29" s="27">
        <f>C27*1000/12/C28</f>
        <v>54271.062271062277</v>
      </c>
      <c r="D29" s="27">
        <f>D27*1000/3/D28</f>
        <v>152717.94871794872</v>
      </c>
      <c r="E29" s="27">
        <v>205900</v>
      </c>
      <c r="F29" s="27">
        <v>172435.3</v>
      </c>
    </row>
    <row r="30" spans="1:7" ht="25.5" x14ac:dyDescent="0.3">
      <c r="A30" s="5" t="s">
        <v>5</v>
      </c>
      <c r="B30" s="34" t="s">
        <v>2</v>
      </c>
      <c r="C30" s="89">
        <v>10300</v>
      </c>
      <c r="D30" s="89">
        <v>8892</v>
      </c>
      <c r="E30" s="89">
        <f>5065.8+F30</f>
        <v>10073</v>
      </c>
      <c r="F30" s="89">
        <v>5007.2</v>
      </c>
      <c r="G30" s="47"/>
    </row>
    <row r="31" spans="1:7" ht="36.75" x14ac:dyDescent="0.3">
      <c r="A31" s="12" t="s">
        <v>6</v>
      </c>
      <c r="B31" s="34" t="s">
        <v>2</v>
      </c>
      <c r="C31" s="27">
        <v>8560</v>
      </c>
      <c r="D31" s="89">
        <v>6397</v>
      </c>
      <c r="E31" s="89">
        <f>4587+1974+F31</f>
        <v>25219.9</v>
      </c>
      <c r="F31" s="89">
        <v>18658.900000000001</v>
      </c>
      <c r="G31" s="47"/>
    </row>
    <row r="32" spans="1:7" ht="25.5" x14ac:dyDescent="0.3">
      <c r="A32" s="12" t="s">
        <v>7</v>
      </c>
      <c r="B32" s="34" t="s">
        <v>2</v>
      </c>
      <c r="C32" s="27">
        <v>1473</v>
      </c>
      <c r="D32" s="89">
        <v>12.5</v>
      </c>
      <c r="E32" s="89">
        <v>0</v>
      </c>
      <c r="F32" s="89">
        <v>0</v>
      </c>
    </row>
    <row r="33" spans="1:6" ht="36.75" x14ac:dyDescent="0.3">
      <c r="A33" s="12" t="s">
        <v>8</v>
      </c>
      <c r="B33" s="34" t="s">
        <v>2</v>
      </c>
      <c r="C33" s="27">
        <v>7940</v>
      </c>
      <c r="D33" s="89">
        <v>0</v>
      </c>
      <c r="E33" s="89">
        <f>13349+F33</f>
        <v>26839</v>
      </c>
      <c r="F33" s="89">
        <v>13490</v>
      </c>
    </row>
    <row r="34" spans="1:6" ht="56.25" customHeight="1" x14ac:dyDescent="0.3">
      <c r="A34" s="12" t="s">
        <v>9</v>
      </c>
      <c r="B34" s="34" t="s">
        <v>2</v>
      </c>
      <c r="C34" s="27">
        <v>17017</v>
      </c>
      <c r="D34" s="89">
        <v>6758</v>
      </c>
      <c r="E34" s="89">
        <f>1532.5+F34</f>
        <v>1708</v>
      </c>
      <c r="F34" s="89">
        <v>175.5</v>
      </c>
    </row>
  </sheetData>
  <mergeCells count="8">
    <mergeCell ref="A1:E1"/>
    <mergeCell ref="A2:E2"/>
    <mergeCell ref="A4:E4"/>
    <mergeCell ref="A6:E6"/>
    <mergeCell ref="A10:A11"/>
    <mergeCell ref="B10:B11"/>
    <mergeCell ref="C10:E10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60" zoomScaleNormal="60" workbookViewId="0">
      <selection activeCell="G30" sqref="G30:G34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85546875" style="29" customWidth="1"/>
    <col min="7" max="7" width="9.7109375" style="29" customWidth="1"/>
    <col min="8" max="8" width="12" style="29" customWidth="1"/>
    <col min="9" max="9" width="15.42578125" style="2" customWidth="1"/>
    <col min="10" max="16384" width="9.140625" style="2"/>
  </cols>
  <sheetData>
    <row r="1" spans="1:9" x14ac:dyDescent="0.3">
      <c r="A1" s="120" t="s">
        <v>12</v>
      </c>
      <c r="B1" s="120"/>
      <c r="C1" s="120"/>
      <c r="D1" s="120"/>
      <c r="E1" s="120"/>
      <c r="F1" s="53"/>
    </row>
    <row r="2" spans="1:9" x14ac:dyDescent="0.3">
      <c r="A2" s="120" t="s">
        <v>90</v>
      </c>
      <c r="B2" s="120"/>
      <c r="C2" s="120"/>
      <c r="D2" s="120"/>
      <c r="E2" s="120"/>
      <c r="F2" s="53"/>
    </row>
    <row r="3" spans="1:9" x14ac:dyDescent="0.3">
      <c r="A3" s="1"/>
    </row>
    <row r="4" spans="1:9" ht="45" customHeight="1" x14ac:dyDescent="0.3">
      <c r="A4" s="132" t="s">
        <v>56</v>
      </c>
      <c r="B4" s="132"/>
      <c r="C4" s="132"/>
      <c r="D4" s="132"/>
      <c r="E4" s="132"/>
      <c r="F4" s="58"/>
    </row>
    <row r="5" spans="1:9" ht="15.75" customHeight="1" x14ac:dyDescent="0.3">
      <c r="A5" s="121" t="s">
        <v>13</v>
      </c>
      <c r="B5" s="121"/>
      <c r="C5" s="121"/>
      <c r="D5" s="121"/>
      <c r="E5" s="121"/>
      <c r="F5" s="59"/>
    </row>
    <row r="6" spans="1:9" x14ac:dyDescent="0.3">
      <c r="A6" s="4"/>
    </row>
    <row r="7" spans="1:9" x14ac:dyDescent="0.3">
      <c r="A7" s="13" t="s">
        <v>14</v>
      </c>
    </row>
    <row r="8" spans="1:9" x14ac:dyDescent="0.3">
      <c r="A8" s="1"/>
    </row>
    <row r="9" spans="1:9" x14ac:dyDescent="0.3">
      <c r="A9" s="122" t="s">
        <v>24</v>
      </c>
      <c r="B9" s="123" t="s">
        <v>15</v>
      </c>
      <c r="C9" s="124" t="s">
        <v>35</v>
      </c>
      <c r="D9" s="124"/>
      <c r="E9" s="124"/>
      <c r="F9" s="54"/>
    </row>
    <row r="10" spans="1:9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92" t="s">
        <v>99</v>
      </c>
      <c r="I10" s="15"/>
    </row>
    <row r="11" spans="1:9" x14ac:dyDescent="0.3">
      <c r="A11" s="5" t="s">
        <v>18</v>
      </c>
      <c r="B11" s="34" t="s">
        <v>10</v>
      </c>
      <c r="C11" s="48">
        <v>40</v>
      </c>
      <c r="D11" s="48">
        <v>40</v>
      </c>
      <c r="E11" s="48">
        <v>40</v>
      </c>
      <c r="F11" s="48">
        <v>40</v>
      </c>
    </row>
    <row r="12" spans="1:9" ht="25.5" x14ac:dyDescent="0.3">
      <c r="A12" s="10" t="s">
        <v>20</v>
      </c>
      <c r="B12" s="34" t="s">
        <v>2</v>
      </c>
      <c r="C12" s="27">
        <f>(C13-C32)/C11</f>
        <v>1030.2249999999999</v>
      </c>
      <c r="D12" s="27">
        <f t="shared" ref="D12:F12" si="0">(D13-D32)/D11</f>
        <v>257.55624999999998</v>
      </c>
      <c r="E12" s="27">
        <f t="shared" si="0"/>
        <v>730.61250000000007</v>
      </c>
      <c r="F12" s="27">
        <f t="shared" si="0"/>
        <v>386.565</v>
      </c>
    </row>
    <row r="13" spans="1:9" ht="25.5" x14ac:dyDescent="0.3">
      <c r="A13" s="5" t="s">
        <v>67</v>
      </c>
      <c r="B13" s="34" t="s">
        <v>2</v>
      </c>
      <c r="C13" s="70">
        <f>C15+C29+C30+C31+C32+C33</f>
        <v>41539</v>
      </c>
      <c r="D13" s="70">
        <f>D15+D29+D30+D31+D32+D33</f>
        <v>10384.75</v>
      </c>
      <c r="E13" s="70">
        <f>E15+E29+E30+E31+E32+E33</f>
        <v>29224.500000000004</v>
      </c>
      <c r="F13" s="69">
        <f>F15+F29+F30</f>
        <v>15462.6</v>
      </c>
    </row>
    <row r="14" spans="1:9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9" ht="25.5" x14ac:dyDescent="0.3">
      <c r="A15" s="5" t="s">
        <v>82</v>
      </c>
      <c r="B15" s="34" t="s">
        <v>2</v>
      </c>
      <c r="C15" s="69">
        <f>C17+C20+C23+C26</f>
        <v>31932</v>
      </c>
      <c r="D15" s="69">
        <f t="shared" ref="D15" si="2">D17+D20+D23+D26</f>
        <v>7983</v>
      </c>
      <c r="E15" s="69">
        <f>11950.2+F15</f>
        <v>25972.7</v>
      </c>
      <c r="F15" s="69">
        <v>14022.5</v>
      </c>
      <c r="H15" s="71"/>
    </row>
    <row r="16" spans="1:9" x14ac:dyDescent="0.3">
      <c r="A16" s="8" t="s">
        <v>1</v>
      </c>
      <c r="B16" s="35"/>
      <c r="C16" s="26"/>
      <c r="D16" s="26"/>
      <c r="E16" s="26"/>
      <c r="F16" s="26"/>
    </row>
    <row r="17" spans="1:11" s="18" customFormat="1" ht="25.5" x14ac:dyDescent="0.3">
      <c r="A17" s="20" t="s">
        <v>25</v>
      </c>
      <c r="B17" s="34" t="s">
        <v>2</v>
      </c>
      <c r="C17" s="46">
        <v>3200</v>
      </c>
      <c r="D17" s="46">
        <f>C17/12*3</f>
        <v>800</v>
      </c>
      <c r="E17" s="46">
        <f>1100.3+F17</f>
        <v>2660.8</v>
      </c>
      <c r="F17" s="46">
        <v>1560.5</v>
      </c>
      <c r="G17" s="29"/>
      <c r="H17" s="29"/>
    </row>
    <row r="18" spans="1:11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6">
        <v>3</v>
      </c>
      <c r="F18" s="26">
        <v>3</v>
      </c>
      <c r="G18" s="29"/>
      <c r="H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133333.33333333334</v>
      </c>
      <c r="D19" s="27">
        <f>D17*1000/9/D18</f>
        <v>44444.444444444445</v>
      </c>
      <c r="E19" s="27">
        <f>E17*1000/3/E18</f>
        <v>295644.44444444444</v>
      </c>
      <c r="F19" s="27">
        <v>173388.9</v>
      </c>
      <c r="G19" s="29"/>
      <c r="H19" s="29"/>
    </row>
    <row r="20" spans="1:11" s="18" customFormat="1" ht="25.5" x14ac:dyDescent="0.3">
      <c r="A20" s="20" t="s">
        <v>26</v>
      </c>
      <c r="B20" s="34" t="s">
        <v>2</v>
      </c>
      <c r="C20" s="46">
        <v>17037</v>
      </c>
      <c r="D20" s="46">
        <f>C20/12*3</f>
        <v>4259.25</v>
      </c>
      <c r="E20" s="46">
        <f>7256.6+F20</f>
        <v>15553.7</v>
      </c>
      <c r="F20" s="46">
        <v>8297.1</v>
      </c>
      <c r="G20" s="29"/>
      <c r="H20" s="29"/>
    </row>
    <row r="21" spans="1:11" x14ac:dyDescent="0.3">
      <c r="A21" s="10" t="s">
        <v>4</v>
      </c>
      <c r="B21" s="36" t="s">
        <v>3</v>
      </c>
      <c r="C21" s="20">
        <v>12.6</v>
      </c>
      <c r="D21" s="20">
        <v>12.6</v>
      </c>
      <c r="E21" s="20">
        <v>16</v>
      </c>
      <c r="F21" s="26">
        <v>10</v>
      </c>
    </row>
    <row r="22" spans="1:11" ht="21.95" customHeight="1" x14ac:dyDescent="0.3">
      <c r="A22" s="10" t="s">
        <v>22</v>
      </c>
      <c r="B22" s="34" t="s">
        <v>23</v>
      </c>
      <c r="C22" s="89">
        <f>C20/C21/12*1000</f>
        <v>112678.57142857143</v>
      </c>
      <c r="D22" s="89">
        <f>D20*1000/9/D21</f>
        <v>37559.523809523809</v>
      </c>
      <c r="E22" s="89">
        <f>E20*1000/3/E21</f>
        <v>324035.41666666669</v>
      </c>
      <c r="F22" s="27">
        <v>276570</v>
      </c>
    </row>
    <row r="23" spans="1:11" ht="39" x14ac:dyDescent="0.3">
      <c r="A23" s="14" t="s">
        <v>21</v>
      </c>
      <c r="B23" s="34" t="s">
        <v>2</v>
      </c>
      <c r="C23" s="20">
        <v>2900</v>
      </c>
      <c r="D23" s="20">
        <f>C23/12*3</f>
        <v>725</v>
      </c>
      <c r="E23" s="20">
        <f>890.3+F23</f>
        <v>2194.8999999999996</v>
      </c>
      <c r="F23" s="20">
        <v>1304.5999999999999</v>
      </c>
    </row>
    <row r="24" spans="1:11" x14ac:dyDescent="0.3">
      <c r="A24" s="10" t="s">
        <v>4</v>
      </c>
      <c r="B24" s="36" t="s">
        <v>3</v>
      </c>
      <c r="C24" s="20">
        <v>2</v>
      </c>
      <c r="D24" s="20">
        <v>2</v>
      </c>
      <c r="E24" s="20">
        <v>3</v>
      </c>
      <c r="F24" s="20">
        <v>3</v>
      </c>
    </row>
    <row r="25" spans="1:11" ht="21.95" customHeight="1" x14ac:dyDescent="0.3">
      <c r="A25" s="10" t="s">
        <v>22</v>
      </c>
      <c r="B25" s="34" t="s">
        <v>23</v>
      </c>
      <c r="C25" s="89">
        <f>C23/C24/12*1000</f>
        <v>120833.33333333333</v>
      </c>
      <c r="D25" s="89">
        <f>D23*1000/9/D24</f>
        <v>40277.777777777781</v>
      </c>
      <c r="E25" s="89">
        <f>E23*1000/3/E24</f>
        <v>243877.77777777772</v>
      </c>
      <c r="F25" s="89">
        <v>144955.6</v>
      </c>
    </row>
    <row r="26" spans="1:11" ht="25.5" x14ac:dyDescent="0.3">
      <c r="A26" s="7" t="s">
        <v>19</v>
      </c>
      <c r="B26" s="34" t="s">
        <v>2</v>
      </c>
      <c r="C26" s="20">
        <v>8795</v>
      </c>
      <c r="D26" s="20">
        <f>C26/12*3</f>
        <v>2198.75</v>
      </c>
      <c r="E26" s="20">
        <v>2703</v>
      </c>
      <c r="F26" s="20">
        <v>2860.3</v>
      </c>
    </row>
    <row r="27" spans="1:11" x14ac:dyDescent="0.3">
      <c r="A27" s="10" t="s">
        <v>4</v>
      </c>
      <c r="B27" s="36" t="s">
        <v>3</v>
      </c>
      <c r="C27" s="20">
        <v>6.5</v>
      </c>
      <c r="D27" s="20">
        <v>6.5</v>
      </c>
      <c r="E27" s="20">
        <v>15</v>
      </c>
      <c r="F27" s="20">
        <v>9</v>
      </c>
    </row>
    <row r="28" spans="1:11" ht="21.95" customHeight="1" x14ac:dyDescent="0.3">
      <c r="A28" s="10" t="s">
        <v>22</v>
      </c>
      <c r="B28" s="34" t="s">
        <v>23</v>
      </c>
      <c r="C28" s="89">
        <f>C26/C27/12*1000</f>
        <v>112756.41025641026</v>
      </c>
      <c r="D28" s="89">
        <f>D26*1000/9/D27</f>
        <v>37585.470085470086</v>
      </c>
      <c r="E28" s="89">
        <f>E26*1000/3/E27</f>
        <v>60066.666666666664</v>
      </c>
      <c r="F28" s="89">
        <v>105937</v>
      </c>
    </row>
    <row r="29" spans="1:11" ht="25.5" x14ac:dyDescent="0.3">
      <c r="A29" s="5" t="s">
        <v>5</v>
      </c>
      <c r="B29" s="34" t="s">
        <v>2</v>
      </c>
      <c r="C29" s="91">
        <v>4932</v>
      </c>
      <c r="D29" s="20">
        <f>C29/12*3</f>
        <v>1233</v>
      </c>
      <c r="E29" s="91">
        <f>1228+F29</f>
        <v>2655.4</v>
      </c>
      <c r="F29" s="91">
        <v>1427.4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1">
        <v>2233</v>
      </c>
      <c r="D30" s="20">
        <f>C30/12*3</f>
        <v>558.25</v>
      </c>
      <c r="E30" s="91">
        <f>567.5+F30</f>
        <v>580.20000000000005</v>
      </c>
      <c r="F30" s="91">
        <v>12.7</v>
      </c>
      <c r="G30" s="62"/>
      <c r="H30" s="62"/>
      <c r="I30" s="63"/>
      <c r="J30" s="47"/>
      <c r="K30" s="47"/>
    </row>
    <row r="31" spans="1:11" ht="25.5" x14ac:dyDescent="0.3">
      <c r="A31" s="12" t="s">
        <v>7</v>
      </c>
      <c r="B31" s="34" t="s">
        <v>2</v>
      </c>
      <c r="C31" s="91">
        <v>0</v>
      </c>
      <c r="D31" s="91">
        <v>0</v>
      </c>
      <c r="E31" s="91">
        <v>0</v>
      </c>
      <c r="F31" s="91">
        <v>0</v>
      </c>
      <c r="G31" s="62"/>
      <c r="H31" s="62"/>
      <c r="I31" s="63"/>
    </row>
    <row r="32" spans="1:11" ht="36.75" x14ac:dyDescent="0.3">
      <c r="A32" s="12" t="s">
        <v>8</v>
      </c>
      <c r="B32" s="34" t="s">
        <v>2</v>
      </c>
      <c r="C32" s="91">
        <v>330</v>
      </c>
      <c r="D32" s="20">
        <f>C32/12*3</f>
        <v>82.5</v>
      </c>
      <c r="E32" s="91">
        <v>0</v>
      </c>
      <c r="F32" s="91">
        <v>0</v>
      </c>
    </row>
    <row r="33" spans="1:6" ht="55.5" customHeight="1" x14ac:dyDescent="0.3">
      <c r="A33" s="12" t="s">
        <v>9</v>
      </c>
      <c r="B33" s="34" t="s">
        <v>2</v>
      </c>
      <c r="C33" s="91">
        <v>2112</v>
      </c>
      <c r="D33" s="20">
        <f>C33/12*3</f>
        <v>528</v>
      </c>
      <c r="E33" s="91">
        <v>16.2</v>
      </c>
      <c r="F33" s="91">
        <v>16.2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G30" sqref="G3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3.7109375" style="29" customWidth="1"/>
    <col min="7" max="7" width="11" style="29" customWidth="1"/>
    <col min="8" max="8" width="12" style="2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103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57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4" t="s">
        <v>92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106</v>
      </c>
      <c r="D11" s="48">
        <v>106</v>
      </c>
      <c r="E11" s="48">
        <v>106</v>
      </c>
      <c r="F11" s="48">
        <v>106</v>
      </c>
    </row>
    <row r="12" spans="1:8" ht="25.5" x14ac:dyDescent="0.3">
      <c r="A12" s="10" t="s">
        <v>20</v>
      </c>
      <c r="B12" s="34" t="s">
        <v>2</v>
      </c>
      <c r="C12" s="27">
        <f>(C13-C32)/C11</f>
        <v>796.72641509433959</v>
      </c>
      <c r="D12" s="27">
        <f>(D13-D32)/D11</f>
        <v>199.1816037735849</v>
      </c>
      <c r="E12" s="27">
        <f t="shared" ref="E12" si="0">(E13-E32)/E11</f>
        <v>723.34056603773593</v>
      </c>
      <c r="F12" s="27"/>
    </row>
    <row r="13" spans="1:8" ht="25.5" x14ac:dyDescent="0.3">
      <c r="A13" s="5" t="s">
        <v>83</v>
      </c>
      <c r="B13" s="34" t="s">
        <v>2</v>
      </c>
      <c r="C13" s="70">
        <f>C15+C29+C30+C31+C32+C33</f>
        <v>86239</v>
      </c>
      <c r="D13" s="69">
        <f>D15+D29+D30+D31+D32+D33</f>
        <v>21559.75</v>
      </c>
      <c r="E13" s="70">
        <f>E15+E29+E30+E31+E32+E33</f>
        <v>76674.100000000006</v>
      </c>
      <c r="F13" s="69">
        <f>F15+F29+F30</f>
        <v>39533.199999999997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82</v>
      </c>
      <c r="B15" s="34" t="s">
        <v>2</v>
      </c>
      <c r="C15" s="69">
        <f>C17+C20+C23+C26</f>
        <v>64080</v>
      </c>
      <c r="D15" s="69">
        <f t="shared" ref="D15" si="2">D17+D20+D23+D26</f>
        <v>16020</v>
      </c>
      <c r="E15" s="69">
        <f>29512.5+F15</f>
        <v>64628.4</v>
      </c>
      <c r="F15" s="69">
        <v>35115.9</v>
      </c>
    </row>
    <row r="16" spans="1:8" x14ac:dyDescent="0.3">
      <c r="A16" s="8" t="s">
        <v>1</v>
      </c>
      <c r="B16" s="35"/>
      <c r="C16" s="26"/>
      <c r="D16" s="26"/>
      <c r="E16" s="26"/>
      <c r="F16" s="26"/>
    </row>
    <row r="17" spans="1:11" s="18" customFormat="1" ht="25.5" x14ac:dyDescent="0.3">
      <c r="A17" s="20" t="s">
        <v>25</v>
      </c>
      <c r="B17" s="34" t="s">
        <v>2</v>
      </c>
      <c r="C17" s="46">
        <v>5850</v>
      </c>
      <c r="D17" s="46">
        <f>C17/12*3</f>
        <v>1462.5</v>
      </c>
      <c r="E17" s="46">
        <f>3046.7+F17</f>
        <v>6360.6</v>
      </c>
      <c r="F17" s="46">
        <v>3313.9</v>
      </c>
      <c r="G17" s="29"/>
    </row>
    <row r="18" spans="1:11" s="18" customFormat="1" x14ac:dyDescent="0.3">
      <c r="A18" s="21" t="s">
        <v>4</v>
      </c>
      <c r="B18" s="36" t="s">
        <v>3</v>
      </c>
      <c r="C18" s="20">
        <v>3</v>
      </c>
      <c r="D18" s="20">
        <v>3</v>
      </c>
      <c r="E18" s="26">
        <v>3</v>
      </c>
      <c r="F18" s="26">
        <v>3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89">
        <f>C17/C18/12*1000</f>
        <v>162500</v>
      </c>
      <c r="D19" s="89">
        <f>D17*1000/9/D18</f>
        <v>54166.666666666664</v>
      </c>
      <c r="E19" s="27">
        <f>E17*1000/3/E18</f>
        <v>706733.33333333337</v>
      </c>
      <c r="F19" s="27">
        <v>368211.1</v>
      </c>
      <c r="G19" s="29"/>
    </row>
    <row r="20" spans="1:11" s="18" customFormat="1" ht="25.5" x14ac:dyDescent="0.3">
      <c r="A20" s="20" t="s">
        <v>26</v>
      </c>
      <c r="B20" s="34" t="s">
        <v>2</v>
      </c>
      <c r="C20" s="20">
        <v>42072</v>
      </c>
      <c r="D20" s="20">
        <f>C20/12*3</f>
        <v>10518</v>
      </c>
      <c r="E20" s="101">
        <f>20600.8+F20</f>
        <v>47669.3</v>
      </c>
      <c r="F20" s="101">
        <v>27068.5</v>
      </c>
      <c r="G20" s="29"/>
    </row>
    <row r="21" spans="1:11" x14ac:dyDescent="0.3">
      <c r="A21" s="10" t="s">
        <v>4</v>
      </c>
      <c r="B21" s="36" t="s">
        <v>3</v>
      </c>
      <c r="C21" s="20">
        <v>30.1</v>
      </c>
      <c r="D21" s="20">
        <v>30.1</v>
      </c>
      <c r="E21" s="20">
        <v>23</v>
      </c>
      <c r="F21" s="20">
        <v>27</v>
      </c>
    </row>
    <row r="22" spans="1:11" ht="21.95" customHeight="1" x14ac:dyDescent="0.3">
      <c r="A22" s="10" t="s">
        <v>22</v>
      </c>
      <c r="B22" s="34" t="s">
        <v>23</v>
      </c>
      <c r="C22" s="89">
        <f>C20/C21/12*1000</f>
        <v>116478.40531561461</v>
      </c>
      <c r="D22" s="89">
        <f>D20*1000/9/D21</f>
        <v>38826.13510520487</v>
      </c>
      <c r="E22" s="89">
        <f>E20*1000/3/E21</f>
        <v>690859.4202898551</v>
      </c>
      <c r="F22" s="89">
        <v>334179</v>
      </c>
    </row>
    <row r="23" spans="1:11" ht="39" x14ac:dyDescent="0.3">
      <c r="A23" s="14" t="s">
        <v>21</v>
      </c>
      <c r="B23" s="34" t="s">
        <v>2</v>
      </c>
      <c r="C23" s="20">
        <v>4350</v>
      </c>
      <c r="D23" s="20">
        <f>C23/12*3</f>
        <v>1087.5</v>
      </c>
      <c r="E23" s="20">
        <f>2912.8+F23</f>
        <v>4401.3999999999996</v>
      </c>
      <c r="F23" s="20">
        <v>1488.6</v>
      </c>
    </row>
    <row r="24" spans="1:11" x14ac:dyDescent="0.3">
      <c r="A24" s="10" t="s">
        <v>4</v>
      </c>
      <c r="B24" s="36" t="s">
        <v>3</v>
      </c>
      <c r="C24" s="20">
        <v>7</v>
      </c>
      <c r="D24" s="20">
        <v>7</v>
      </c>
      <c r="E24" s="20">
        <v>4</v>
      </c>
      <c r="F24" s="20">
        <v>3</v>
      </c>
    </row>
    <row r="25" spans="1:11" ht="21.95" customHeight="1" x14ac:dyDescent="0.3">
      <c r="A25" s="10" t="s">
        <v>22</v>
      </c>
      <c r="B25" s="34" t="s">
        <v>23</v>
      </c>
      <c r="C25" s="89">
        <f>C23/C24/12*1000</f>
        <v>51785.714285714283</v>
      </c>
      <c r="D25" s="89">
        <f>D23*1000/9/D24</f>
        <v>17261.90476190476</v>
      </c>
      <c r="E25" s="89">
        <f>E23*1000/3/E24</f>
        <v>366783.33333333331</v>
      </c>
      <c r="F25" s="89">
        <v>165400</v>
      </c>
    </row>
    <row r="26" spans="1:11" ht="25.5" x14ac:dyDescent="0.3">
      <c r="A26" s="7" t="s">
        <v>19</v>
      </c>
      <c r="B26" s="34" t="s">
        <v>2</v>
      </c>
      <c r="C26" s="20">
        <v>11808</v>
      </c>
      <c r="D26" s="20">
        <f>C26/12*3</f>
        <v>2952</v>
      </c>
      <c r="E26" s="20">
        <f>2952.2+F26</f>
        <v>6197.1</v>
      </c>
      <c r="F26" s="20">
        <v>3244.9</v>
      </c>
    </row>
    <row r="27" spans="1:11" x14ac:dyDescent="0.3">
      <c r="A27" s="10" t="s">
        <v>4</v>
      </c>
      <c r="B27" s="36" t="s">
        <v>3</v>
      </c>
      <c r="C27" s="20">
        <v>10.5</v>
      </c>
      <c r="D27" s="20">
        <v>10.5</v>
      </c>
      <c r="E27" s="20">
        <v>16</v>
      </c>
      <c r="F27" s="20">
        <v>12</v>
      </c>
    </row>
    <row r="28" spans="1:11" ht="21.95" customHeight="1" x14ac:dyDescent="0.3">
      <c r="A28" s="10" t="s">
        <v>22</v>
      </c>
      <c r="B28" s="34" t="s">
        <v>23</v>
      </c>
      <c r="C28" s="89">
        <f>C26/C27/12*1000</f>
        <v>93714.285714285725</v>
      </c>
      <c r="D28" s="89">
        <f>D26*1000/9/D27</f>
        <v>31238.095238095237</v>
      </c>
      <c r="E28" s="89">
        <f>E26*1000/3/E27</f>
        <v>129106.25</v>
      </c>
      <c r="F28" s="89">
        <v>90136.1</v>
      </c>
    </row>
    <row r="29" spans="1:11" ht="25.5" x14ac:dyDescent="0.3">
      <c r="A29" s="5" t="s">
        <v>5</v>
      </c>
      <c r="B29" s="34" t="s">
        <v>2</v>
      </c>
      <c r="C29" s="91">
        <v>7750</v>
      </c>
      <c r="D29" s="91">
        <f>C29/12*3</f>
        <v>1937.5</v>
      </c>
      <c r="E29" s="91">
        <f>3043.3+F29</f>
        <v>6650.4</v>
      </c>
      <c r="F29" s="91">
        <v>3607.1</v>
      </c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1">
        <v>6940</v>
      </c>
      <c r="D30" s="91">
        <f>C30/12*3</f>
        <v>1735</v>
      </c>
      <c r="E30" s="91">
        <f>3585.8+F30</f>
        <v>4396</v>
      </c>
      <c r="F30" s="91">
        <v>810.2</v>
      </c>
      <c r="G30" s="64"/>
      <c r="H30" s="64"/>
      <c r="I30" s="65"/>
      <c r="J30" s="51"/>
      <c r="K30" s="51"/>
    </row>
    <row r="31" spans="1:11" ht="25.5" x14ac:dyDescent="0.3">
      <c r="A31" s="12" t="s">
        <v>7</v>
      </c>
      <c r="B31" s="34" t="s">
        <v>2</v>
      </c>
      <c r="C31" s="91">
        <v>0</v>
      </c>
      <c r="D31" s="91">
        <v>0</v>
      </c>
      <c r="E31" s="91">
        <v>0</v>
      </c>
      <c r="F31" s="91">
        <v>0</v>
      </c>
      <c r="G31" s="62"/>
      <c r="H31" s="63"/>
      <c r="I31" s="63"/>
    </row>
    <row r="32" spans="1:11" ht="36.75" x14ac:dyDescent="0.3">
      <c r="A32" s="12" t="s">
        <v>8</v>
      </c>
      <c r="B32" s="34" t="s">
        <v>2</v>
      </c>
      <c r="C32" s="91">
        <v>1786</v>
      </c>
      <c r="D32" s="91">
        <f>C32/12*3</f>
        <v>446.5</v>
      </c>
      <c r="E32" s="91">
        <v>0</v>
      </c>
      <c r="F32" s="91">
        <v>0</v>
      </c>
    </row>
    <row r="33" spans="1:6" ht="52.5" customHeight="1" x14ac:dyDescent="0.3">
      <c r="A33" s="12" t="s">
        <v>9</v>
      </c>
      <c r="B33" s="34" t="s">
        <v>2</v>
      </c>
      <c r="C33" s="91">
        <v>5683</v>
      </c>
      <c r="D33" s="91">
        <f>C33/12*3</f>
        <v>1420.75</v>
      </c>
      <c r="E33" s="91">
        <f>109.4+F33</f>
        <v>999.3</v>
      </c>
      <c r="F33" s="91">
        <v>889.9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0"/>
  <sheetViews>
    <sheetView zoomScale="64" zoomScaleNormal="64" workbookViewId="0">
      <selection activeCell="J28" sqref="J28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.42578125" style="29" customWidth="1"/>
    <col min="8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97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58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35</v>
      </c>
      <c r="D9" s="124"/>
      <c r="E9" s="124"/>
      <c r="F9" s="26" t="s">
        <v>98</v>
      </c>
      <c r="G9" s="38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  <c r="G10" s="38"/>
    </row>
    <row r="11" spans="1:8" x14ac:dyDescent="0.3">
      <c r="A11" s="5" t="s">
        <v>18</v>
      </c>
      <c r="B11" s="34" t="s">
        <v>10</v>
      </c>
      <c r="C11" s="48">
        <v>190</v>
      </c>
      <c r="D11" s="48">
        <v>190</v>
      </c>
      <c r="E11" s="48">
        <v>190</v>
      </c>
      <c r="F11" s="48">
        <v>190</v>
      </c>
      <c r="G11" s="38"/>
    </row>
    <row r="12" spans="1:8" ht="25.5" x14ac:dyDescent="0.3">
      <c r="A12" s="10" t="s">
        <v>20</v>
      </c>
      <c r="B12" s="34" t="s">
        <v>2</v>
      </c>
      <c r="C12" s="27">
        <f>(C13-C32)/C11</f>
        <v>561.78421052631575</v>
      </c>
      <c r="D12" s="27">
        <f t="shared" ref="D12:E12" si="0">(D13-D32)/D11</f>
        <v>140.44605263157894</v>
      </c>
      <c r="E12" s="27">
        <f t="shared" si="0"/>
        <v>444.23631578947374</v>
      </c>
      <c r="F12" s="27"/>
      <c r="G12" s="38"/>
    </row>
    <row r="13" spans="1:8" ht="25.5" x14ac:dyDescent="0.3">
      <c r="A13" s="5" t="s">
        <v>84</v>
      </c>
      <c r="B13" s="34" t="s">
        <v>2</v>
      </c>
      <c r="C13" s="70">
        <f>C15+C29+C30+C31+C32+C33</f>
        <v>107999</v>
      </c>
      <c r="D13" s="70">
        <f>D15+D29+D30+D31+D32+D33</f>
        <v>26999.75</v>
      </c>
      <c r="E13" s="70">
        <f>E15+E29+E30+E31+E32+E33</f>
        <v>84404.900000000009</v>
      </c>
      <c r="F13" s="70">
        <f>F15+F29+F30+F31+F32+F33</f>
        <v>39230.799999999996</v>
      </c>
      <c r="G13" s="38"/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38"/>
      <c r="H14" s="31"/>
    </row>
    <row r="15" spans="1:8" ht="25.5" x14ac:dyDescent="0.3">
      <c r="A15" s="5" t="s">
        <v>82</v>
      </c>
      <c r="B15" s="34" t="s">
        <v>2</v>
      </c>
      <c r="C15" s="69">
        <f>C17+C20+C23+C26</f>
        <v>78264</v>
      </c>
      <c r="D15" s="69">
        <f t="shared" ref="D15" si="2">D17+D20+D23+D26</f>
        <v>19566</v>
      </c>
      <c r="E15" s="69">
        <f>32880.3+F15</f>
        <v>67378.8</v>
      </c>
      <c r="F15" s="69">
        <v>34498.5</v>
      </c>
      <c r="G15" s="38"/>
      <c r="H15" s="71"/>
    </row>
    <row r="16" spans="1:8" x14ac:dyDescent="0.3">
      <c r="A16" s="8" t="s">
        <v>1</v>
      </c>
      <c r="B16" s="35"/>
      <c r="C16" s="26"/>
      <c r="D16" s="26"/>
      <c r="E16" s="26"/>
      <c r="F16" s="26"/>
      <c r="G16" s="38"/>
    </row>
    <row r="17" spans="1:13" s="18" customFormat="1" ht="25.5" x14ac:dyDescent="0.3">
      <c r="A17" s="20" t="s">
        <v>25</v>
      </c>
      <c r="B17" s="34" t="s">
        <v>2</v>
      </c>
      <c r="C17" s="46">
        <v>5700</v>
      </c>
      <c r="D17" s="46">
        <f>C17/12*3</f>
        <v>1425</v>
      </c>
      <c r="E17" s="46">
        <f>3441.2+F17</f>
        <v>5132.7</v>
      </c>
      <c r="F17" s="46">
        <v>1691.5</v>
      </c>
      <c r="G17" s="38"/>
      <c r="H17" s="29"/>
    </row>
    <row r="18" spans="1:13" s="18" customFormat="1" x14ac:dyDescent="0.3">
      <c r="A18" s="21" t="s">
        <v>4</v>
      </c>
      <c r="B18" s="36" t="s">
        <v>3</v>
      </c>
      <c r="C18" s="20">
        <v>3</v>
      </c>
      <c r="D18" s="20">
        <v>3</v>
      </c>
      <c r="E18" s="26">
        <v>4</v>
      </c>
      <c r="F18" s="26">
        <v>2</v>
      </c>
      <c r="G18" s="38"/>
      <c r="H18" s="29"/>
    </row>
    <row r="19" spans="1:13" s="18" customFormat="1" ht="21.95" customHeight="1" x14ac:dyDescent="0.3">
      <c r="A19" s="21" t="s">
        <v>22</v>
      </c>
      <c r="B19" s="34" t="s">
        <v>23</v>
      </c>
      <c r="C19" s="27">
        <f>C17/C18/12*1000</f>
        <v>158333.33333333334</v>
      </c>
      <c r="D19" s="27">
        <f>D17*1000/9/D18</f>
        <v>52777.777777777781</v>
      </c>
      <c r="E19" s="27">
        <f>E17*1000/3/E18</f>
        <v>427725</v>
      </c>
      <c r="F19" s="27">
        <v>281916.7</v>
      </c>
      <c r="G19" s="38"/>
      <c r="H19" s="29"/>
    </row>
    <row r="20" spans="1:13" s="18" customFormat="1" ht="25.5" x14ac:dyDescent="0.3">
      <c r="A20" s="20" t="s">
        <v>26</v>
      </c>
      <c r="B20" s="34" t="s">
        <v>2</v>
      </c>
      <c r="C20" s="46">
        <v>56822</v>
      </c>
      <c r="D20" s="46">
        <f>C20/12*3</f>
        <v>14205.5</v>
      </c>
      <c r="E20" s="52">
        <f>22981.2+F20</f>
        <v>48900.2</v>
      </c>
      <c r="F20" s="52">
        <v>25919</v>
      </c>
      <c r="G20" s="38"/>
      <c r="H20" s="31"/>
    </row>
    <row r="21" spans="1:13" x14ac:dyDescent="0.3">
      <c r="A21" s="10" t="s">
        <v>4</v>
      </c>
      <c r="B21" s="36" t="s">
        <v>3</v>
      </c>
      <c r="C21" s="20">
        <v>32.4</v>
      </c>
      <c r="D21" s="20">
        <v>32.4</v>
      </c>
      <c r="E21" s="26">
        <v>27</v>
      </c>
      <c r="F21" s="26">
        <v>27</v>
      </c>
      <c r="G21" s="38"/>
    </row>
    <row r="22" spans="1:13" ht="21.95" customHeight="1" x14ac:dyDescent="0.3">
      <c r="A22" s="10" t="s">
        <v>22</v>
      </c>
      <c r="B22" s="34" t="s">
        <v>23</v>
      </c>
      <c r="C22" s="27">
        <f>C20/C21/12*1000</f>
        <v>146147.11934156381</v>
      </c>
      <c r="D22" s="27">
        <f>D20*1000/9/D21</f>
        <v>48715.706447187935</v>
      </c>
      <c r="E22" s="27">
        <f>E20*1000/3/E21</f>
        <v>603706.17283950618</v>
      </c>
      <c r="F22" s="27">
        <v>319987.7</v>
      </c>
      <c r="G22" s="38"/>
    </row>
    <row r="23" spans="1:13" ht="39" x14ac:dyDescent="0.3">
      <c r="A23" s="14" t="s">
        <v>21</v>
      </c>
      <c r="B23" s="34" t="s">
        <v>2</v>
      </c>
      <c r="C23" s="46">
        <v>4800</v>
      </c>
      <c r="D23" s="46">
        <f>C23/12*3</f>
        <v>1200</v>
      </c>
      <c r="E23" s="46">
        <f>3722.2+F23</f>
        <v>7534.1</v>
      </c>
      <c r="F23" s="46">
        <v>3811.9</v>
      </c>
      <c r="G23" s="38"/>
    </row>
    <row r="24" spans="1:13" x14ac:dyDescent="0.3">
      <c r="A24" s="10" t="s">
        <v>4</v>
      </c>
      <c r="B24" s="36" t="s">
        <v>3</v>
      </c>
      <c r="C24" s="20">
        <v>7.5</v>
      </c>
      <c r="D24" s="20">
        <v>7.5</v>
      </c>
      <c r="E24" s="26">
        <v>5</v>
      </c>
      <c r="F24" s="26">
        <v>5</v>
      </c>
      <c r="G24" s="38"/>
    </row>
    <row r="25" spans="1:13" ht="21.95" customHeight="1" x14ac:dyDescent="0.3">
      <c r="A25" s="10" t="s">
        <v>22</v>
      </c>
      <c r="B25" s="34" t="s">
        <v>23</v>
      </c>
      <c r="C25" s="27">
        <f>C23/C24/12*1000</f>
        <v>53333.333333333336</v>
      </c>
      <c r="D25" s="27">
        <f>D23*1000/9/D24</f>
        <v>17777.777777777777</v>
      </c>
      <c r="E25" s="27">
        <f>E23*1000/3/E24</f>
        <v>502273.33333333331</v>
      </c>
      <c r="F25" s="27">
        <v>254126.7</v>
      </c>
      <c r="G25" s="38"/>
    </row>
    <row r="26" spans="1:13" ht="25.5" x14ac:dyDescent="0.3">
      <c r="A26" s="7" t="s">
        <v>19</v>
      </c>
      <c r="B26" s="34" t="s">
        <v>2</v>
      </c>
      <c r="C26" s="46">
        <v>10942</v>
      </c>
      <c r="D26" s="46">
        <f>C26/12*3</f>
        <v>2735.5</v>
      </c>
      <c r="E26" s="46">
        <f>2735.7+F26</f>
        <v>5811.7999999999993</v>
      </c>
      <c r="F26" s="46">
        <v>3076.1</v>
      </c>
      <c r="G26" s="38"/>
    </row>
    <row r="27" spans="1:13" x14ac:dyDescent="0.3">
      <c r="A27" s="10" t="s">
        <v>4</v>
      </c>
      <c r="B27" s="36" t="s">
        <v>3</v>
      </c>
      <c r="C27" s="20">
        <v>16</v>
      </c>
      <c r="D27" s="20">
        <v>16</v>
      </c>
      <c r="E27" s="20">
        <v>13</v>
      </c>
      <c r="F27" s="20">
        <v>13</v>
      </c>
      <c r="G27" s="102"/>
      <c r="H27" s="18"/>
      <c r="I27" s="18"/>
      <c r="J27" s="18"/>
      <c r="K27" s="18"/>
      <c r="L27" s="18"/>
      <c r="M27" s="18"/>
    </row>
    <row r="28" spans="1:13" ht="21.95" customHeight="1" x14ac:dyDescent="0.3">
      <c r="A28" s="10" t="s">
        <v>22</v>
      </c>
      <c r="B28" s="34" t="s">
        <v>23</v>
      </c>
      <c r="C28" s="89">
        <f>C26/C27/12*1000</f>
        <v>56989.583333333336</v>
      </c>
      <c r="D28" s="89">
        <f>D26*1000/9/D27</f>
        <v>18996.527777777777</v>
      </c>
      <c r="E28" s="89">
        <f>E26*1000/3/E27</f>
        <v>149020.51282051278</v>
      </c>
      <c r="F28" s="89">
        <v>78874.399999999994</v>
      </c>
      <c r="G28" s="102"/>
      <c r="H28" s="18"/>
      <c r="I28" s="18"/>
      <c r="J28" s="18"/>
      <c r="K28" s="18"/>
      <c r="L28" s="18"/>
      <c r="M28" s="18"/>
    </row>
    <row r="29" spans="1:13" ht="25.5" x14ac:dyDescent="0.3">
      <c r="A29" s="5" t="s">
        <v>5</v>
      </c>
      <c r="B29" s="34" t="s">
        <v>2</v>
      </c>
      <c r="C29" s="91">
        <v>8300</v>
      </c>
      <c r="D29" s="91">
        <f>C29/12*3</f>
        <v>2075</v>
      </c>
      <c r="E29" s="91">
        <f>3369.9+F29</f>
        <v>5522.8</v>
      </c>
      <c r="F29" s="91">
        <v>2152.9</v>
      </c>
      <c r="G29" s="103"/>
      <c r="H29" s="104"/>
      <c r="I29" s="104"/>
      <c r="J29" s="104"/>
      <c r="K29" s="104"/>
      <c r="L29" s="18"/>
      <c r="M29" s="18"/>
    </row>
    <row r="30" spans="1:13" ht="36.75" x14ac:dyDescent="0.3">
      <c r="A30" s="12" t="s">
        <v>6</v>
      </c>
      <c r="B30" s="34" t="s">
        <v>2</v>
      </c>
      <c r="C30" s="91">
        <v>13300</v>
      </c>
      <c r="D30" s="91">
        <f>C30/12*3</f>
        <v>3325</v>
      </c>
      <c r="E30" s="91">
        <f>7137.8+F30</f>
        <v>9675</v>
      </c>
      <c r="F30" s="91">
        <v>2537.1999999999998</v>
      </c>
      <c r="G30" s="105"/>
      <c r="H30" s="106"/>
      <c r="I30" s="106"/>
      <c r="J30" s="106"/>
      <c r="K30" s="106"/>
      <c r="L30" s="18"/>
      <c r="M30" s="104"/>
    </row>
    <row r="31" spans="1:13" ht="25.5" x14ac:dyDescent="0.3">
      <c r="A31" s="12" t="s">
        <v>7</v>
      </c>
      <c r="B31" s="34" t="s">
        <v>2</v>
      </c>
      <c r="C31" s="91">
        <v>200</v>
      </c>
      <c r="D31" s="91">
        <f>C31/12*3</f>
        <v>50</v>
      </c>
      <c r="E31" s="91">
        <v>0</v>
      </c>
      <c r="F31" s="91">
        <v>0</v>
      </c>
      <c r="G31" s="103"/>
      <c r="H31" s="104"/>
      <c r="I31" s="104"/>
      <c r="J31" s="106"/>
      <c r="K31" s="106"/>
      <c r="L31" s="18"/>
      <c r="M31" s="104"/>
    </row>
    <row r="32" spans="1:13" ht="36.75" x14ac:dyDescent="0.3">
      <c r="A32" s="12" t="s">
        <v>8</v>
      </c>
      <c r="B32" s="34" t="s">
        <v>2</v>
      </c>
      <c r="C32" s="91">
        <v>1260</v>
      </c>
      <c r="D32" s="91">
        <f>C32/12*3</f>
        <v>315</v>
      </c>
      <c r="E32" s="91">
        <v>0</v>
      </c>
      <c r="F32" s="91">
        <v>0</v>
      </c>
      <c r="G32" s="102"/>
      <c r="H32" s="18"/>
      <c r="I32" s="18"/>
      <c r="J32" s="106"/>
      <c r="K32" s="106"/>
      <c r="L32" s="18"/>
      <c r="M32" s="104"/>
    </row>
    <row r="33" spans="1:13" ht="52.5" customHeight="1" x14ac:dyDescent="0.3">
      <c r="A33" s="12" t="s">
        <v>9</v>
      </c>
      <c r="B33" s="34" t="s">
        <v>2</v>
      </c>
      <c r="C33" s="91">
        <v>6675</v>
      </c>
      <c r="D33" s="91">
        <f>C33/12*3</f>
        <v>1668.75</v>
      </c>
      <c r="E33" s="91">
        <f>1786.1+F33</f>
        <v>1828.3</v>
      </c>
      <c r="F33" s="91">
        <v>42.2</v>
      </c>
      <c r="G33" s="102"/>
      <c r="H33" s="18"/>
      <c r="I33" s="18"/>
      <c r="J33" s="18"/>
      <c r="K33" s="18"/>
      <c r="L33" s="18"/>
      <c r="M33" s="18"/>
    </row>
    <row r="34" spans="1:13" x14ac:dyDescent="0.3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3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x14ac:dyDescent="0.3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3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x14ac:dyDescent="0.3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x14ac:dyDescent="0.3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x14ac:dyDescent="0.3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60" zoomScaleNormal="60" workbookViewId="0">
      <selection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3" style="2" customWidth="1"/>
    <col min="9" max="9" width="13.85546875" style="2" customWidth="1"/>
    <col min="10" max="16384" width="9.140625" style="2"/>
  </cols>
  <sheetData>
    <row r="1" spans="1:7" x14ac:dyDescent="0.3">
      <c r="A1" s="120" t="s">
        <v>12</v>
      </c>
      <c r="B1" s="120"/>
      <c r="C1" s="120"/>
      <c r="D1" s="120"/>
      <c r="E1" s="120"/>
      <c r="F1" s="53"/>
    </row>
    <row r="2" spans="1:7" x14ac:dyDescent="0.3">
      <c r="A2" s="120" t="s">
        <v>90</v>
      </c>
      <c r="B2" s="120"/>
      <c r="C2" s="120"/>
      <c r="D2" s="120"/>
      <c r="E2" s="120"/>
      <c r="F2" s="53"/>
    </row>
    <row r="3" spans="1:7" x14ac:dyDescent="0.3">
      <c r="A3" s="1"/>
    </row>
    <row r="4" spans="1:7" ht="45" customHeight="1" x14ac:dyDescent="0.3">
      <c r="A4" s="132" t="s">
        <v>59</v>
      </c>
      <c r="B4" s="132"/>
      <c r="C4" s="132"/>
      <c r="D4" s="132"/>
      <c r="E4" s="132"/>
      <c r="F4" s="58"/>
    </row>
    <row r="5" spans="1:7" ht="15.75" customHeight="1" x14ac:dyDescent="0.3">
      <c r="A5" s="121" t="s">
        <v>13</v>
      </c>
      <c r="B5" s="121"/>
      <c r="C5" s="121"/>
      <c r="D5" s="121"/>
      <c r="E5" s="121"/>
      <c r="F5" s="59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122" t="s">
        <v>24</v>
      </c>
      <c r="B9" s="123" t="s">
        <v>15</v>
      </c>
      <c r="C9" s="124" t="s">
        <v>35</v>
      </c>
      <c r="D9" s="124"/>
      <c r="E9" s="124"/>
      <c r="F9" s="26" t="s">
        <v>94</v>
      </c>
    </row>
    <row r="10" spans="1:7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7" x14ac:dyDescent="0.3">
      <c r="A11" s="5" t="s">
        <v>18</v>
      </c>
      <c r="B11" s="34" t="s">
        <v>10</v>
      </c>
      <c r="C11" s="118">
        <v>10</v>
      </c>
      <c r="D11" s="118">
        <v>10</v>
      </c>
      <c r="E11" s="48">
        <v>10</v>
      </c>
      <c r="F11" s="48">
        <v>10</v>
      </c>
    </row>
    <row r="12" spans="1:7" ht="25.5" x14ac:dyDescent="0.3">
      <c r="A12" s="10" t="s">
        <v>20</v>
      </c>
      <c r="B12" s="34" t="s">
        <v>2</v>
      </c>
      <c r="C12" s="27">
        <f>(C13-C32)/C11</f>
        <v>1821.9</v>
      </c>
      <c r="D12" s="27">
        <f t="shared" ref="D12:E12" si="0">(D13-D32)/D11</f>
        <v>455.47500000000002</v>
      </c>
      <c r="E12" s="27">
        <f t="shared" si="0"/>
        <v>1750.7899999999997</v>
      </c>
      <c r="F12" s="27"/>
    </row>
    <row r="13" spans="1:7" ht="25.5" x14ac:dyDescent="0.3">
      <c r="A13" s="5" t="s">
        <v>76</v>
      </c>
      <c r="B13" s="34" t="s">
        <v>2</v>
      </c>
      <c r="C13" s="70">
        <f>C15+C29+C30+C31+C32+C33</f>
        <v>18419</v>
      </c>
      <c r="D13" s="70">
        <f>D15+D29+D30+D31+D32+D33</f>
        <v>4604.75</v>
      </c>
      <c r="E13" s="69">
        <f>E15+E29+E30+E31+E32+E33</f>
        <v>17507.899999999998</v>
      </c>
      <c r="F13" s="70">
        <f>F15+F29+F30+F31+F32+F33</f>
        <v>5552.5999999999995</v>
      </c>
    </row>
    <row r="14" spans="1:7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31"/>
    </row>
    <row r="15" spans="1:7" ht="25.5" x14ac:dyDescent="0.3">
      <c r="A15" s="5" t="s">
        <v>85</v>
      </c>
      <c r="B15" s="34" t="s">
        <v>2</v>
      </c>
      <c r="C15" s="69">
        <f>C17+C20+C23+C26</f>
        <v>12708</v>
      </c>
      <c r="D15" s="69">
        <f t="shared" ref="D15" si="2">D17+D20+D23+D26</f>
        <v>3177</v>
      </c>
      <c r="E15" s="69">
        <f>E17+E20+E23+E26</f>
        <v>12608.099999999999</v>
      </c>
      <c r="F15" s="69">
        <v>4727.1000000000004</v>
      </c>
    </row>
    <row r="16" spans="1:7" x14ac:dyDescent="0.3">
      <c r="A16" s="8" t="s">
        <v>1</v>
      </c>
      <c r="B16" s="35"/>
      <c r="C16" s="27"/>
      <c r="D16" s="27"/>
      <c r="E16" s="27"/>
      <c r="F16" s="27"/>
    </row>
    <row r="17" spans="1:11" s="18" customFormat="1" ht="25.5" x14ac:dyDescent="0.3">
      <c r="A17" s="20" t="s">
        <v>25</v>
      </c>
      <c r="B17" s="34" t="s">
        <v>2</v>
      </c>
      <c r="C17" s="42">
        <v>0</v>
      </c>
      <c r="D17" s="42">
        <v>0</v>
      </c>
      <c r="E17" s="42">
        <v>0</v>
      </c>
      <c r="F17" s="42">
        <v>0</v>
      </c>
      <c r="G17" s="29"/>
    </row>
    <row r="18" spans="1:11" s="18" customFormat="1" x14ac:dyDescent="0.3">
      <c r="A18" s="21" t="s">
        <v>4</v>
      </c>
      <c r="B18" s="36" t="s">
        <v>3</v>
      </c>
      <c r="C18" s="28"/>
      <c r="D18" s="28"/>
      <c r="E18" s="28"/>
      <c r="F18" s="28"/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/>
      <c r="D19" s="27"/>
      <c r="E19" s="27"/>
      <c r="F19" s="27"/>
      <c r="G19" s="29"/>
    </row>
    <row r="20" spans="1:11" s="18" customFormat="1" ht="25.5" x14ac:dyDescent="0.3">
      <c r="A20" s="20" t="s">
        <v>26</v>
      </c>
      <c r="B20" s="34" t="s">
        <v>2</v>
      </c>
      <c r="C20" s="42">
        <v>6124</v>
      </c>
      <c r="D20" s="42">
        <f>C20/12*3</f>
        <v>1531</v>
      </c>
      <c r="E20" s="42">
        <f>3852.3+F20</f>
        <v>6114.8</v>
      </c>
      <c r="F20" s="42">
        <v>2262.5</v>
      </c>
      <c r="G20" s="29"/>
    </row>
    <row r="21" spans="1:11" x14ac:dyDescent="0.3">
      <c r="A21" s="10" t="s">
        <v>4</v>
      </c>
      <c r="B21" s="36" t="s">
        <v>3</v>
      </c>
      <c r="C21" s="107">
        <v>3.2</v>
      </c>
      <c r="D21" s="107">
        <v>3.2</v>
      </c>
      <c r="E21" s="28">
        <v>2</v>
      </c>
      <c r="F21" s="28">
        <v>2.2999999999999998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159479.16666666666</v>
      </c>
      <c r="D22" s="27">
        <f>D20*1000/9/D21</f>
        <v>53159.722222222226</v>
      </c>
      <c r="E22" s="27">
        <f>E20*1000/9/E21</f>
        <v>339711.11111111112</v>
      </c>
      <c r="F22" s="27">
        <v>327898.59999999998</v>
      </c>
    </row>
    <row r="23" spans="1:11" ht="39" x14ac:dyDescent="0.3">
      <c r="A23" s="14" t="s">
        <v>21</v>
      </c>
      <c r="B23" s="34" t="s">
        <v>2</v>
      </c>
      <c r="C23" s="89">
        <v>964</v>
      </c>
      <c r="D23" s="89">
        <f>C23/12*3</f>
        <v>241</v>
      </c>
      <c r="E23" s="89">
        <f>1591.5+F23</f>
        <v>1915</v>
      </c>
      <c r="F23" s="89">
        <v>323.5</v>
      </c>
    </row>
    <row r="24" spans="1:11" x14ac:dyDescent="0.3">
      <c r="A24" s="10" t="s">
        <v>4</v>
      </c>
      <c r="B24" s="36" t="s">
        <v>3</v>
      </c>
      <c r="C24" s="107">
        <v>1</v>
      </c>
      <c r="D24" s="107">
        <v>1</v>
      </c>
      <c r="E24" s="107">
        <v>1</v>
      </c>
      <c r="F24" s="107">
        <v>0.7</v>
      </c>
    </row>
    <row r="25" spans="1:11" ht="21.95" customHeight="1" x14ac:dyDescent="0.3">
      <c r="A25" s="10" t="s">
        <v>22</v>
      </c>
      <c r="B25" s="34" t="s">
        <v>23</v>
      </c>
      <c r="C25" s="89">
        <f>C23/C24/12*1000</f>
        <v>80333.333333333328</v>
      </c>
      <c r="D25" s="89">
        <f>D23*1000/9/D24</f>
        <v>26777.777777777777</v>
      </c>
      <c r="E25" s="89">
        <f>E23*1000/9/E24</f>
        <v>212777.77777777778</v>
      </c>
      <c r="F25" s="89">
        <v>154047.6</v>
      </c>
    </row>
    <row r="26" spans="1:11" ht="25.5" x14ac:dyDescent="0.3">
      <c r="A26" s="7" t="s">
        <v>19</v>
      </c>
      <c r="B26" s="34" t="s">
        <v>2</v>
      </c>
      <c r="C26" s="89">
        <v>5620</v>
      </c>
      <c r="D26" s="89">
        <f>C26/12*3</f>
        <v>1405</v>
      </c>
      <c r="E26" s="89">
        <f>2437.2+F26</f>
        <v>4578.2999999999993</v>
      </c>
      <c r="F26" s="89">
        <v>2141.1</v>
      </c>
    </row>
    <row r="27" spans="1:11" x14ac:dyDescent="0.3">
      <c r="A27" s="10" t="s">
        <v>4</v>
      </c>
      <c r="B27" s="36" t="s">
        <v>3</v>
      </c>
      <c r="C27" s="107">
        <v>7.5</v>
      </c>
      <c r="D27" s="107">
        <v>7.5</v>
      </c>
      <c r="E27" s="107">
        <v>7</v>
      </c>
      <c r="F27" s="107">
        <v>8</v>
      </c>
    </row>
    <row r="28" spans="1:11" ht="21.95" customHeight="1" x14ac:dyDescent="0.3">
      <c r="A28" s="10" t="s">
        <v>22</v>
      </c>
      <c r="B28" s="34" t="s">
        <v>23</v>
      </c>
      <c r="C28" s="89">
        <f>C26/C27/12*1000</f>
        <v>62444.444444444453</v>
      </c>
      <c r="D28" s="89">
        <f>D26*1000/9/D27</f>
        <v>20814.814814814818</v>
      </c>
      <c r="E28" s="89">
        <f>E26*1000/9/E27</f>
        <v>72671.428571428551</v>
      </c>
      <c r="F28" s="89">
        <v>89212.5</v>
      </c>
    </row>
    <row r="29" spans="1:11" ht="25.5" x14ac:dyDescent="0.3">
      <c r="A29" s="5" t="s">
        <v>5</v>
      </c>
      <c r="B29" s="34" t="s">
        <v>2</v>
      </c>
      <c r="C29" s="91">
        <v>1160</v>
      </c>
      <c r="D29" s="89">
        <f>C29/12*3</f>
        <v>290</v>
      </c>
      <c r="E29" s="91">
        <f>833.9+F29</f>
        <v>1333.3</v>
      </c>
      <c r="F29" s="91">
        <v>499.4</v>
      </c>
      <c r="G29" s="84"/>
      <c r="H29" s="84"/>
      <c r="I29" s="50"/>
      <c r="J29" s="50"/>
      <c r="K29" s="50"/>
    </row>
    <row r="30" spans="1:11" ht="36.75" x14ac:dyDescent="0.3">
      <c r="A30" s="12" t="s">
        <v>6</v>
      </c>
      <c r="B30" s="34" t="s">
        <v>2</v>
      </c>
      <c r="C30" s="91">
        <v>4131</v>
      </c>
      <c r="D30" s="89">
        <f>C30/12*3</f>
        <v>1032.75</v>
      </c>
      <c r="E30" s="91">
        <f>3240.4+F30</f>
        <v>3565.8</v>
      </c>
      <c r="F30" s="91">
        <v>325.39999999999998</v>
      </c>
      <c r="G30" s="84"/>
      <c r="H30" s="84"/>
      <c r="I30" s="50"/>
      <c r="J30" s="50"/>
      <c r="K30" s="50"/>
    </row>
    <row r="31" spans="1:11" ht="25.5" x14ac:dyDescent="0.3">
      <c r="A31" s="12" t="s">
        <v>7</v>
      </c>
      <c r="B31" s="34" t="s">
        <v>2</v>
      </c>
      <c r="C31" s="91">
        <v>0</v>
      </c>
      <c r="D31" s="91">
        <v>0</v>
      </c>
      <c r="E31" s="91">
        <v>0</v>
      </c>
      <c r="F31" s="91">
        <v>0</v>
      </c>
      <c r="G31" s="84"/>
      <c r="H31" s="84"/>
      <c r="I31" s="50"/>
      <c r="J31" s="50"/>
      <c r="K31" s="50"/>
    </row>
    <row r="32" spans="1:11" ht="36.75" x14ac:dyDescent="0.3">
      <c r="A32" s="12" t="s">
        <v>8</v>
      </c>
      <c r="B32" s="34" t="s">
        <v>2</v>
      </c>
      <c r="C32" s="91">
        <v>200</v>
      </c>
      <c r="D32" s="89">
        <f>C32/12*3</f>
        <v>50</v>
      </c>
      <c r="E32" s="91">
        <v>0</v>
      </c>
      <c r="F32" s="91">
        <v>0</v>
      </c>
      <c r="G32" s="50"/>
      <c r="H32" s="50"/>
      <c r="I32" s="50"/>
      <c r="J32" s="50"/>
      <c r="K32" s="50"/>
    </row>
    <row r="33" spans="1:6" ht="51.75" customHeight="1" x14ac:dyDescent="0.3">
      <c r="A33" s="12" t="s">
        <v>9</v>
      </c>
      <c r="B33" s="34" t="s">
        <v>2</v>
      </c>
      <c r="C33" s="91">
        <v>220</v>
      </c>
      <c r="D33" s="89">
        <f>C33/12*3</f>
        <v>55</v>
      </c>
      <c r="E33" s="91">
        <v>0.7</v>
      </c>
      <c r="F33" s="91">
        <v>0.7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80" zoomScaleNormal="80" workbookViewId="0">
      <selection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101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60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4" t="s">
        <v>102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43</v>
      </c>
      <c r="D11" s="48">
        <v>43</v>
      </c>
      <c r="E11" s="48">
        <v>43</v>
      </c>
      <c r="F11" s="48">
        <v>43</v>
      </c>
    </row>
    <row r="12" spans="1:8" ht="25.5" x14ac:dyDescent="0.3">
      <c r="A12" s="10" t="s">
        <v>20</v>
      </c>
      <c r="B12" s="34" t="s">
        <v>2</v>
      </c>
      <c r="C12" s="27">
        <f>(C13-C32)/C11</f>
        <v>1507.1162790697674</v>
      </c>
      <c r="D12" s="27">
        <f t="shared" ref="D12:E12" si="0">(D13-D32)/D11</f>
        <v>376.77906976744185</v>
      </c>
      <c r="E12" s="27">
        <f t="shared" si="0"/>
        <v>1074.6186046511627</v>
      </c>
      <c r="F12" s="27"/>
    </row>
    <row r="13" spans="1:8" ht="25.5" x14ac:dyDescent="0.3">
      <c r="A13" s="5" t="s">
        <v>86</v>
      </c>
      <c r="B13" s="34" t="s">
        <v>2</v>
      </c>
      <c r="C13" s="70">
        <f>C15+C29+C30+C31+C32+C33</f>
        <v>65106</v>
      </c>
      <c r="D13" s="70">
        <f t="shared" ref="D13:E13" si="1">D15+D29+D30+D31+D32+D33</f>
        <v>16276.5</v>
      </c>
      <c r="E13" s="70">
        <f t="shared" si="1"/>
        <v>46208.6</v>
      </c>
      <c r="F13" s="69">
        <f>F15+F29+F30+F31+F32+F33</f>
        <v>22373.8</v>
      </c>
    </row>
    <row r="14" spans="1:8" x14ac:dyDescent="0.3">
      <c r="A14" s="8" t="s">
        <v>0</v>
      </c>
      <c r="B14" s="35"/>
      <c r="C14" s="25"/>
      <c r="D14" s="25">
        <f t="shared" ref="D14" si="2">C14</f>
        <v>0</v>
      </c>
      <c r="E14" s="25"/>
      <c r="F14" s="25"/>
      <c r="H14" s="31"/>
    </row>
    <row r="15" spans="1:8" ht="25.5" x14ac:dyDescent="0.3">
      <c r="A15" s="5" t="s">
        <v>87</v>
      </c>
      <c r="B15" s="34" t="s">
        <v>2</v>
      </c>
      <c r="C15" s="69">
        <f>C17+C20+C23+C26</f>
        <v>43428</v>
      </c>
      <c r="D15" s="69">
        <f t="shared" ref="D15" si="3">D17+D20+D23+D26</f>
        <v>10857</v>
      </c>
      <c r="E15" s="69">
        <f>17625.4+F15</f>
        <v>37321.199999999997</v>
      </c>
      <c r="F15" s="69">
        <v>19695.8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20">
        <v>2000</v>
      </c>
      <c r="D17" s="20">
        <f>C17/12*3</f>
        <v>500</v>
      </c>
      <c r="E17" s="20">
        <f>943.1+F17</f>
        <v>2078.4</v>
      </c>
      <c r="F17" s="20">
        <v>1135.3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0">
        <v>1</v>
      </c>
      <c r="F18" s="20">
        <v>1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89">
        <f>C17/C18/12*1000</f>
        <v>83333.333333333328</v>
      </c>
      <c r="D19" s="89">
        <f>D17*1000/10/D18</f>
        <v>25000</v>
      </c>
      <c r="E19" s="89">
        <f>E17*1000/3/E18</f>
        <v>692800</v>
      </c>
      <c r="F19" s="89">
        <v>378433.3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89">
        <v>31322</v>
      </c>
      <c r="D20" s="20">
        <f>C20/12*3</f>
        <v>7830.5</v>
      </c>
      <c r="E20" s="89">
        <f>12809.5+F20</f>
        <v>25237.7</v>
      </c>
      <c r="F20" s="89">
        <v>12428.2</v>
      </c>
      <c r="G20" s="29"/>
      <c r="H20" s="29"/>
    </row>
    <row r="21" spans="1:12" x14ac:dyDescent="0.3">
      <c r="A21" s="10" t="s">
        <v>4</v>
      </c>
      <c r="B21" s="36" t="s">
        <v>3</v>
      </c>
      <c r="C21" s="107">
        <v>15.5</v>
      </c>
      <c r="D21" s="107">
        <v>15.5</v>
      </c>
      <c r="E21" s="107">
        <v>16</v>
      </c>
      <c r="F21" s="107">
        <v>14</v>
      </c>
    </row>
    <row r="22" spans="1:12" ht="21.95" customHeight="1" x14ac:dyDescent="0.3">
      <c r="A22" s="10" t="s">
        <v>22</v>
      </c>
      <c r="B22" s="34" t="s">
        <v>23</v>
      </c>
      <c r="C22" s="89">
        <f>C20/C21/12*1000</f>
        <v>168397.84946236559</v>
      </c>
      <c r="D22" s="89">
        <f>D20*1000/10/D21</f>
        <v>50519.354838709674</v>
      </c>
      <c r="E22" s="89">
        <f>E20*1000/3/E21</f>
        <v>525785.41666666663</v>
      </c>
      <c r="F22" s="89">
        <v>295909.5</v>
      </c>
    </row>
    <row r="23" spans="1:12" ht="39" x14ac:dyDescent="0.3">
      <c r="A23" s="14" t="s">
        <v>21</v>
      </c>
      <c r="B23" s="34" t="s">
        <v>2</v>
      </c>
      <c r="C23" s="89">
        <v>5556</v>
      </c>
      <c r="D23" s="20">
        <f>C23/12*3</f>
        <v>1389</v>
      </c>
      <c r="E23" s="89">
        <f>1737.5+F23</f>
        <v>4116.8</v>
      </c>
      <c r="F23" s="89">
        <v>2379.3000000000002</v>
      </c>
    </row>
    <row r="24" spans="1:12" x14ac:dyDescent="0.3">
      <c r="A24" s="10" t="s">
        <v>4</v>
      </c>
      <c r="B24" s="36" t="s">
        <v>3</v>
      </c>
      <c r="C24" s="107">
        <v>2.5</v>
      </c>
      <c r="D24" s="107">
        <v>2.5</v>
      </c>
      <c r="E24" s="107">
        <v>3</v>
      </c>
      <c r="F24" s="107">
        <v>3</v>
      </c>
    </row>
    <row r="25" spans="1:12" ht="21.95" customHeight="1" x14ac:dyDescent="0.3">
      <c r="A25" s="10" t="s">
        <v>22</v>
      </c>
      <c r="B25" s="34" t="s">
        <v>23</v>
      </c>
      <c r="C25" s="89">
        <f>C23/C24/12*1000</f>
        <v>185200.00000000003</v>
      </c>
      <c r="D25" s="89">
        <f>D23*1000/10/D24</f>
        <v>55560</v>
      </c>
      <c r="E25" s="89">
        <f>E23*1000/3/E24</f>
        <v>457422.22222222225</v>
      </c>
      <c r="F25" s="89">
        <v>264366.7</v>
      </c>
    </row>
    <row r="26" spans="1:12" ht="25.5" x14ac:dyDescent="0.3">
      <c r="A26" s="7" t="s">
        <v>19</v>
      </c>
      <c r="B26" s="34" t="s">
        <v>2</v>
      </c>
      <c r="C26" s="89">
        <v>4550</v>
      </c>
      <c r="D26" s="20">
        <f>C26/12*3</f>
        <v>1137.5</v>
      </c>
      <c r="E26" s="89">
        <f>2138.3+F26</f>
        <v>5891.3</v>
      </c>
      <c r="F26" s="89">
        <v>3753</v>
      </c>
    </row>
    <row r="27" spans="1:12" x14ac:dyDescent="0.3">
      <c r="A27" s="10" t="s">
        <v>4</v>
      </c>
      <c r="B27" s="36" t="s">
        <v>3</v>
      </c>
      <c r="C27" s="107">
        <v>9.75</v>
      </c>
      <c r="D27" s="107">
        <v>9.75</v>
      </c>
      <c r="E27" s="107">
        <v>13</v>
      </c>
      <c r="F27" s="107">
        <v>14</v>
      </c>
    </row>
    <row r="28" spans="1:12" ht="21.95" customHeight="1" x14ac:dyDescent="0.3">
      <c r="A28" s="10" t="s">
        <v>22</v>
      </c>
      <c r="B28" s="34" t="s">
        <v>23</v>
      </c>
      <c r="C28" s="89">
        <f>C26/C27/12*1000</f>
        <v>38888.888888888891</v>
      </c>
      <c r="D28" s="89">
        <f>D26*1000/10/D27</f>
        <v>11666.666666666666</v>
      </c>
      <c r="E28" s="89">
        <f>E26*1000/3/E27</f>
        <v>151058.97435897437</v>
      </c>
      <c r="F28" s="89">
        <v>89357.1</v>
      </c>
    </row>
    <row r="29" spans="1:12" ht="25.5" x14ac:dyDescent="0.3">
      <c r="A29" s="5" t="s">
        <v>5</v>
      </c>
      <c r="B29" s="34" t="s">
        <v>2</v>
      </c>
      <c r="C29" s="91">
        <v>6496</v>
      </c>
      <c r="D29" s="20">
        <f>C29/12*3</f>
        <v>1624</v>
      </c>
      <c r="E29" s="91">
        <f>1799.1+F29</f>
        <v>3819.3999999999996</v>
      </c>
      <c r="F29" s="91">
        <v>2020.3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34" t="s">
        <v>2</v>
      </c>
      <c r="C30" s="91">
        <v>8500</v>
      </c>
      <c r="D30" s="20">
        <f>C30/12*3</f>
        <v>2125</v>
      </c>
      <c r="E30" s="91">
        <f>4410.3+F30</f>
        <v>4763.1000000000004</v>
      </c>
      <c r="F30" s="91">
        <v>352.8</v>
      </c>
      <c r="G30" s="50"/>
      <c r="H30" s="50"/>
      <c r="I30" s="51"/>
      <c r="J30" s="51"/>
      <c r="K30" s="51"/>
      <c r="L30" s="50"/>
    </row>
    <row r="31" spans="1:12" ht="25.5" x14ac:dyDescent="0.3">
      <c r="A31" s="12" t="s">
        <v>7</v>
      </c>
      <c r="B31" s="34" t="s">
        <v>2</v>
      </c>
      <c r="C31" s="91">
        <v>0</v>
      </c>
      <c r="D31" s="91">
        <v>0</v>
      </c>
      <c r="E31" s="91">
        <v>0</v>
      </c>
      <c r="F31" s="91">
        <v>0</v>
      </c>
      <c r="G31" s="64"/>
      <c r="H31" s="64"/>
      <c r="I31" s="65"/>
      <c r="J31" s="65"/>
      <c r="K31" s="65"/>
      <c r="L31" s="50"/>
    </row>
    <row r="32" spans="1:12" ht="36.75" x14ac:dyDescent="0.3">
      <c r="A32" s="12" t="s">
        <v>8</v>
      </c>
      <c r="B32" s="34" t="s">
        <v>2</v>
      </c>
      <c r="C32" s="91">
        <v>300</v>
      </c>
      <c r="D32" s="20">
        <f>C32/12*3</f>
        <v>75</v>
      </c>
      <c r="E32" s="91">
        <v>0</v>
      </c>
      <c r="F32" s="91">
        <v>0</v>
      </c>
      <c r="L32" s="50"/>
    </row>
    <row r="33" spans="1:6" ht="53.25" customHeight="1" x14ac:dyDescent="0.3">
      <c r="A33" s="12" t="s">
        <v>9</v>
      </c>
      <c r="B33" s="34" t="s">
        <v>2</v>
      </c>
      <c r="C33" s="91">
        <v>6382</v>
      </c>
      <c r="D33" s="20">
        <f>C33/12*3</f>
        <v>1595.5</v>
      </c>
      <c r="E33" s="91">
        <v>304.89999999999998</v>
      </c>
      <c r="F33" s="91">
        <v>304.89999999999998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61" zoomScaleNormal="61" workbookViewId="0">
      <selection activeCell="J28" sqref="J28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103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61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ht="40.5" x14ac:dyDescent="0.3">
      <c r="A9" s="122" t="s">
        <v>24</v>
      </c>
      <c r="B9" s="123" t="s">
        <v>15</v>
      </c>
      <c r="C9" s="124" t="s">
        <v>38</v>
      </c>
      <c r="D9" s="124"/>
      <c r="E9" s="124"/>
      <c r="F9" s="87" t="s">
        <v>99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118</v>
      </c>
      <c r="D11" s="48">
        <v>118</v>
      </c>
      <c r="E11" s="48">
        <v>118</v>
      </c>
      <c r="F11" s="48">
        <v>118</v>
      </c>
    </row>
    <row r="12" spans="1:8" ht="25.5" x14ac:dyDescent="0.3">
      <c r="A12" s="10" t="s">
        <v>20</v>
      </c>
      <c r="B12" s="34" t="s">
        <v>2</v>
      </c>
      <c r="C12" s="27">
        <f>(C13-C32)/C11</f>
        <v>596.24576271186436</v>
      </c>
      <c r="D12" s="27">
        <f t="shared" ref="D12:E12" si="0">(D13-D32)/D11</f>
        <v>149.06144067796609</v>
      </c>
      <c r="E12" s="27">
        <f t="shared" si="0"/>
        <v>529.94915254237287</v>
      </c>
      <c r="F12" s="25"/>
    </row>
    <row r="13" spans="1:8" ht="25.5" x14ac:dyDescent="0.3">
      <c r="A13" s="5" t="s">
        <v>67</v>
      </c>
      <c r="B13" s="34" t="s">
        <v>2</v>
      </c>
      <c r="C13" s="70">
        <f>C15+C29+C30+C31+C32+C33</f>
        <v>70657</v>
      </c>
      <c r="D13" s="70">
        <f>D15+D29+D30+D31+D32+D33</f>
        <v>17664.25</v>
      </c>
      <c r="E13" s="70">
        <f>E15+E29+E30+E31+E32+E33</f>
        <v>62534</v>
      </c>
      <c r="F13" s="70">
        <f>F15+F29+F30+F31+F32+F33</f>
        <v>30206.899999999998</v>
      </c>
      <c r="G13" s="29" t="s">
        <v>27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30</v>
      </c>
      <c r="B15" s="34" t="s">
        <v>2</v>
      </c>
      <c r="C15" s="69">
        <f>C17+C20+C23+C26</f>
        <v>50592</v>
      </c>
      <c r="D15" s="69">
        <f t="shared" ref="D15" si="2">D17+D20+D23+D26</f>
        <v>12648</v>
      </c>
      <c r="E15" s="69">
        <f>23922.4+F15</f>
        <v>50657.2</v>
      </c>
      <c r="F15" s="69">
        <v>26734.799999999999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46">
        <v>5700</v>
      </c>
      <c r="D17" s="46">
        <f>C17/12*3</f>
        <v>1425</v>
      </c>
      <c r="E17" s="46">
        <f>1701.2+F17</f>
        <v>4041.2</v>
      </c>
      <c r="F17" s="46">
        <v>2340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20">
        <v>3</v>
      </c>
      <c r="D18" s="20">
        <v>3</v>
      </c>
      <c r="E18" s="20">
        <v>3</v>
      </c>
      <c r="F18" s="26">
        <v>3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89">
        <f>C17/C18/12*1000</f>
        <v>158333.33333333334</v>
      </c>
      <c r="D19" s="89">
        <f>D17*1000/9/D18</f>
        <v>52777.777777777781</v>
      </c>
      <c r="E19" s="89">
        <f>E17*1000/3/E18</f>
        <v>449022.22222222225</v>
      </c>
      <c r="F19" s="27">
        <v>260000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89">
        <v>35243</v>
      </c>
      <c r="D20" s="20">
        <f>C20/12*3</f>
        <v>8810.75</v>
      </c>
      <c r="E20" s="89">
        <f>18933.6+F20</f>
        <v>39137.5</v>
      </c>
      <c r="F20" s="89">
        <v>20203.900000000001</v>
      </c>
      <c r="G20" s="29"/>
      <c r="H20" s="29"/>
    </row>
    <row r="21" spans="1:12" x14ac:dyDescent="0.3">
      <c r="A21" s="10" t="s">
        <v>4</v>
      </c>
      <c r="B21" s="36" t="s">
        <v>3</v>
      </c>
      <c r="C21" s="107">
        <v>19.899999999999999</v>
      </c>
      <c r="D21" s="107">
        <v>19.899999999999999</v>
      </c>
      <c r="E21" s="107">
        <v>22</v>
      </c>
      <c r="F21" s="107">
        <v>21</v>
      </c>
    </row>
    <row r="22" spans="1:12" ht="21.95" customHeight="1" x14ac:dyDescent="0.3">
      <c r="A22" s="10" t="s">
        <v>22</v>
      </c>
      <c r="B22" s="34" t="s">
        <v>23</v>
      </c>
      <c r="C22" s="89">
        <f>C20/C21/12*1000</f>
        <v>147583.75209380235</v>
      </c>
      <c r="D22" s="89">
        <f>D20*1000/9/D21</f>
        <v>49194.584031267455</v>
      </c>
      <c r="E22" s="89">
        <f>E20*1000/3/E21</f>
        <v>592992.42424242431</v>
      </c>
      <c r="F22" s="89">
        <v>320696.8</v>
      </c>
    </row>
    <row r="23" spans="1:12" ht="39" x14ac:dyDescent="0.3">
      <c r="A23" s="14" t="s">
        <v>21</v>
      </c>
      <c r="B23" s="34" t="s">
        <v>2</v>
      </c>
      <c r="C23" s="89">
        <v>3900</v>
      </c>
      <c r="D23" s="20">
        <f>C23/12*3</f>
        <v>975</v>
      </c>
      <c r="E23" s="89">
        <f>1100.3+F23</f>
        <v>2450.8999999999996</v>
      </c>
      <c r="F23" s="89">
        <v>1350.6</v>
      </c>
    </row>
    <row r="24" spans="1:12" x14ac:dyDescent="0.3">
      <c r="A24" s="10" t="s">
        <v>4</v>
      </c>
      <c r="B24" s="36" t="s">
        <v>3</v>
      </c>
      <c r="C24" s="107">
        <v>5</v>
      </c>
      <c r="D24" s="107">
        <v>5</v>
      </c>
      <c r="E24" s="107">
        <v>9</v>
      </c>
      <c r="F24" s="107">
        <v>5</v>
      </c>
    </row>
    <row r="25" spans="1:12" ht="21.95" customHeight="1" x14ac:dyDescent="0.3">
      <c r="A25" s="10" t="s">
        <v>22</v>
      </c>
      <c r="B25" s="34" t="s">
        <v>23</v>
      </c>
      <c r="C25" s="89">
        <f>C23/C24/12*1000</f>
        <v>65000</v>
      </c>
      <c r="D25" s="89">
        <f>D23*1000/9/D24</f>
        <v>21666.666666666664</v>
      </c>
      <c r="E25" s="89">
        <v>122255.6</v>
      </c>
      <c r="F25" s="89">
        <v>270120</v>
      </c>
    </row>
    <row r="26" spans="1:12" ht="25.5" x14ac:dyDescent="0.3">
      <c r="A26" s="7" t="s">
        <v>19</v>
      </c>
      <c r="B26" s="34" t="s">
        <v>2</v>
      </c>
      <c r="C26" s="89">
        <v>5749</v>
      </c>
      <c r="D26" s="20">
        <f>C26/12*3</f>
        <v>1437.25</v>
      </c>
      <c r="E26" s="89">
        <f>2187.3+F26</f>
        <v>5027.6000000000004</v>
      </c>
      <c r="F26" s="89">
        <v>2840.3</v>
      </c>
    </row>
    <row r="27" spans="1:12" x14ac:dyDescent="0.3">
      <c r="A27" s="10" t="s">
        <v>4</v>
      </c>
      <c r="B27" s="36" t="s">
        <v>3</v>
      </c>
      <c r="C27" s="107">
        <v>10</v>
      </c>
      <c r="D27" s="107">
        <v>10</v>
      </c>
      <c r="E27" s="107">
        <v>27</v>
      </c>
      <c r="F27" s="107">
        <v>23</v>
      </c>
    </row>
    <row r="28" spans="1:12" ht="21.95" customHeight="1" x14ac:dyDescent="0.3">
      <c r="A28" s="10" t="s">
        <v>22</v>
      </c>
      <c r="B28" s="34" t="s">
        <v>23</v>
      </c>
      <c r="C28" s="89">
        <f>C26/C27/12*1000</f>
        <v>47908.333333333328</v>
      </c>
      <c r="D28" s="89">
        <f>D26*1000/9/D27</f>
        <v>15969.444444444443</v>
      </c>
      <c r="E28" s="89">
        <v>81011.100000000006</v>
      </c>
      <c r="F28" s="89">
        <v>123491.3</v>
      </c>
    </row>
    <row r="29" spans="1:12" ht="25.5" x14ac:dyDescent="0.3">
      <c r="A29" s="5" t="s">
        <v>5</v>
      </c>
      <c r="B29" s="34" t="s">
        <v>2</v>
      </c>
      <c r="C29" s="91">
        <v>9600</v>
      </c>
      <c r="D29" s="20">
        <f>C29/12*3</f>
        <v>2400</v>
      </c>
      <c r="E29" s="91">
        <f>3285.1+F29</f>
        <v>6089.7</v>
      </c>
      <c r="F29" s="91">
        <v>2804.6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34" t="s">
        <v>2</v>
      </c>
      <c r="C30" s="91">
        <v>8640</v>
      </c>
      <c r="D30" s="20">
        <f>C30/12*3</f>
        <v>2160</v>
      </c>
      <c r="E30" s="91">
        <f>5119.6+F30</f>
        <v>5758.8</v>
      </c>
      <c r="F30" s="91">
        <v>639.20000000000005</v>
      </c>
      <c r="G30" s="85"/>
      <c r="H30" s="85"/>
      <c r="I30" s="86"/>
      <c r="J30" s="86"/>
      <c r="K30" s="86"/>
      <c r="L30" s="50"/>
    </row>
    <row r="31" spans="1:12" ht="25.5" x14ac:dyDescent="0.3">
      <c r="A31" s="12" t="s">
        <v>7</v>
      </c>
      <c r="B31" s="34" t="s">
        <v>2</v>
      </c>
      <c r="C31" s="91">
        <v>0</v>
      </c>
      <c r="D31" s="91">
        <v>0</v>
      </c>
      <c r="E31" s="91">
        <v>0</v>
      </c>
      <c r="F31" s="91">
        <v>0</v>
      </c>
      <c r="G31" s="85"/>
      <c r="H31" s="85"/>
      <c r="I31" s="86"/>
      <c r="J31" s="86"/>
      <c r="K31" s="86"/>
      <c r="L31" s="50"/>
    </row>
    <row r="32" spans="1:12" ht="36.75" x14ac:dyDescent="0.3">
      <c r="A32" s="12" t="s">
        <v>8</v>
      </c>
      <c r="B32" s="34" t="s">
        <v>2</v>
      </c>
      <c r="C32" s="91">
        <v>300</v>
      </c>
      <c r="D32" s="20">
        <f>C32/12*3</f>
        <v>75</v>
      </c>
      <c r="E32" s="91">
        <v>0</v>
      </c>
      <c r="F32" s="91">
        <v>0</v>
      </c>
      <c r="G32" s="85"/>
      <c r="H32" s="85"/>
      <c r="I32" s="86"/>
      <c r="J32" s="86"/>
      <c r="K32" s="86"/>
      <c r="L32" s="50"/>
    </row>
    <row r="33" spans="1:7" ht="54" customHeight="1" x14ac:dyDescent="0.3">
      <c r="A33" s="12" t="s">
        <v>9</v>
      </c>
      <c r="B33" s="34" t="s">
        <v>2</v>
      </c>
      <c r="C33" s="91">
        <v>1525</v>
      </c>
      <c r="D33" s="20">
        <f>C33/12*3</f>
        <v>381.25</v>
      </c>
      <c r="E33" s="91">
        <v>28.3</v>
      </c>
      <c r="F33" s="91">
        <v>28.3</v>
      </c>
      <c r="G33" s="29">
        <v>28.3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70" zoomScaleNormal="70" workbookViewId="0">
      <selection activeCell="H17" sqref="H17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7109375" style="29" customWidth="1"/>
    <col min="7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62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54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 t="s">
        <v>106</v>
      </c>
    </row>
    <row r="11" spans="1:8" x14ac:dyDescent="0.3">
      <c r="A11" s="5" t="s">
        <v>18</v>
      </c>
      <c r="B11" s="34" t="s">
        <v>10</v>
      </c>
      <c r="C11" s="48">
        <v>61</v>
      </c>
      <c r="D11" s="48">
        <v>61</v>
      </c>
      <c r="E11" s="48">
        <v>61</v>
      </c>
      <c r="F11" s="25"/>
    </row>
    <row r="12" spans="1:8" ht="25.5" x14ac:dyDescent="0.3">
      <c r="A12" s="10" t="s">
        <v>20</v>
      </c>
      <c r="B12" s="34" t="s">
        <v>2</v>
      </c>
      <c r="C12" s="27">
        <f>(C13-C32)/C11</f>
        <v>1043.1967213114754</v>
      </c>
      <c r="D12" s="27">
        <f t="shared" ref="D12:E12" si="0">(D13-D32)/D11</f>
        <v>260.79918032786884</v>
      </c>
      <c r="E12" s="27">
        <f t="shared" si="0"/>
        <v>714.92622950819668</v>
      </c>
      <c r="F12" s="27"/>
    </row>
    <row r="13" spans="1:8" ht="25.5" x14ac:dyDescent="0.3">
      <c r="A13" s="5" t="s">
        <v>83</v>
      </c>
      <c r="B13" s="34" t="s">
        <v>2</v>
      </c>
      <c r="C13" s="69">
        <f>C15+C29+C30+C31+C32+C33</f>
        <v>63835</v>
      </c>
      <c r="D13" s="70">
        <f>D15+D29+D30+D31+D32+D33</f>
        <v>15958.75</v>
      </c>
      <c r="E13" s="70">
        <f>E15+E29+E30+E31+E32+E33</f>
        <v>43610.5</v>
      </c>
      <c r="F13" s="69">
        <f>F15+F29+F30</f>
        <v>19965.3</v>
      </c>
    </row>
    <row r="14" spans="1:8" x14ac:dyDescent="0.3">
      <c r="A14" s="8" t="s">
        <v>0</v>
      </c>
      <c r="B14" s="35"/>
      <c r="C14" s="25"/>
      <c r="D14" s="25">
        <f t="shared" ref="D14:D31" si="1">C14</f>
        <v>0</v>
      </c>
      <c r="E14" s="25"/>
      <c r="F14" s="25"/>
      <c r="H14" s="31"/>
    </row>
    <row r="15" spans="1:8" ht="25.5" x14ac:dyDescent="0.3">
      <c r="A15" s="5" t="s">
        <v>68</v>
      </c>
      <c r="B15" s="34" t="s">
        <v>2</v>
      </c>
      <c r="C15" s="69">
        <f>C17+C20+C23+C26</f>
        <v>45648</v>
      </c>
      <c r="D15" s="69">
        <f t="shared" ref="D15" si="2">D17+D20+D23+D26</f>
        <v>11412</v>
      </c>
      <c r="E15" s="69">
        <f>14678.3+F15</f>
        <v>31267.399999999998</v>
      </c>
      <c r="F15" s="69">
        <v>16589.099999999999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46">
        <v>7000</v>
      </c>
      <c r="D17" s="46">
        <f>C17/12*3</f>
        <v>1750</v>
      </c>
      <c r="E17" s="46">
        <f>1528.3+F17</f>
        <v>3516.1</v>
      </c>
      <c r="F17" s="48">
        <v>1987.8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6">
        <v>3</v>
      </c>
      <c r="F18" s="25">
        <v>3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27">
        <f>C17/C18/12*1000</f>
        <v>291666.66666666669</v>
      </c>
      <c r="D19" s="27">
        <f>D17*1000/9/D18</f>
        <v>97222.222222222219</v>
      </c>
      <c r="E19" s="27">
        <f>E17*1000/3/E18</f>
        <v>390677.77777777775</v>
      </c>
      <c r="F19" s="27">
        <v>220866.7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42">
        <v>25948</v>
      </c>
      <c r="D20" s="46">
        <f>C20/12*3</f>
        <v>6487</v>
      </c>
      <c r="E20" s="42">
        <f>8744.7+F20</f>
        <v>18787.800000000003</v>
      </c>
      <c r="F20" s="42">
        <v>10043.1</v>
      </c>
      <c r="G20" s="29"/>
      <c r="H20" s="29"/>
    </row>
    <row r="21" spans="1:12" x14ac:dyDescent="0.3">
      <c r="A21" s="10" t="s">
        <v>4</v>
      </c>
      <c r="B21" s="36" t="s">
        <v>3</v>
      </c>
      <c r="C21" s="107">
        <v>12.2</v>
      </c>
      <c r="D21" s="107">
        <v>12.2</v>
      </c>
      <c r="E21" s="28">
        <v>16</v>
      </c>
      <c r="F21" s="27">
        <v>12</v>
      </c>
    </row>
    <row r="22" spans="1:12" ht="21.95" customHeight="1" x14ac:dyDescent="0.3">
      <c r="A22" s="10" t="s">
        <v>22</v>
      </c>
      <c r="B22" s="34" t="s">
        <v>23</v>
      </c>
      <c r="C22" s="27">
        <f>C20/C21/12*1000</f>
        <v>177240.43715846995</v>
      </c>
      <c r="D22" s="27">
        <f>D20*1000/9/D21</f>
        <v>59080.145719489985</v>
      </c>
      <c r="E22" s="27">
        <f>E20*1000/3/E21</f>
        <v>391412.50000000006</v>
      </c>
      <c r="F22" s="27">
        <v>278975</v>
      </c>
    </row>
    <row r="23" spans="1:12" ht="39" x14ac:dyDescent="0.3">
      <c r="A23" s="14" t="s">
        <v>21</v>
      </c>
      <c r="B23" s="34" t="s">
        <v>2</v>
      </c>
      <c r="C23" s="42">
        <v>3500</v>
      </c>
      <c r="D23" s="46">
        <f>C23/12*3</f>
        <v>875</v>
      </c>
      <c r="E23" s="42">
        <f>1202.3+F23</f>
        <v>2203.8000000000002</v>
      </c>
      <c r="F23" s="42">
        <v>1001.5</v>
      </c>
    </row>
    <row r="24" spans="1:12" x14ac:dyDescent="0.3">
      <c r="A24" s="10" t="s">
        <v>4</v>
      </c>
      <c r="B24" s="36" t="s">
        <v>3</v>
      </c>
      <c r="C24" s="107">
        <v>3</v>
      </c>
      <c r="D24" s="107">
        <v>3</v>
      </c>
      <c r="E24" s="28">
        <v>4</v>
      </c>
      <c r="F24" s="27">
        <v>3</v>
      </c>
    </row>
    <row r="25" spans="1:12" ht="21.95" customHeight="1" x14ac:dyDescent="0.3">
      <c r="A25" s="10" t="s">
        <v>22</v>
      </c>
      <c r="B25" s="34" t="s">
        <v>23</v>
      </c>
      <c r="C25" s="89">
        <f>C23/C24/12*1000</f>
        <v>97222.222222222234</v>
      </c>
      <c r="D25" s="89">
        <f>D23*1000/9/D24</f>
        <v>32407.407407407405</v>
      </c>
      <c r="E25" s="27">
        <f>E23*1000/3/E24</f>
        <v>183650</v>
      </c>
      <c r="F25" s="27">
        <v>111277.8</v>
      </c>
    </row>
    <row r="26" spans="1:12" ht="25.5" x14ac:dyDescent="0.3">
      <c r="A26" s="7" t="s">
        <v>19</v>
      </c>
      <c r="B26" s="34" t="s">
        <v>2</v>
      </c>
      <c r="C26" s="89">
        <v>9200</v>
      </c>
      <c r="D26" s="20">
        <f>C26/12*3</f>
        <v>2300</v>
      </c>
      <c r="E26" s="89">
        <f>3203+F26</f>
        <v>6759.7</v>
      </c>
      <c r="F26" s="89">
        <v>3556.7</v>
      </c>
    </row>
    <row r="27" spans="1:12" x14ac:dyDescent="0.3">
      <c r="A27" s="10" t="s">
        <v>4</v>
      </c>
      <c r="B27" s="36" t="s">
        <v>3</v>
      </c>
      <c r="C27" s="107">
        <v>10.5</v>
      </c>
      <c r="D27" s="107">
        <v>10.5</v>
      </c>
      <c r="E27" s="107">
        <v>16</v>
      </c>
      <c r="F27" s="89">
        <v>13</v>
      </c>
    </row>
    <row r="28" spans="1:12" ht="21.95" customHeight="1" x14ac:dyDescent="0.3">
      <c r="A28" s="10" t="s">
        <v>22</v>
      </c>
      <c r="B28" s="34" t="s">
        <v>23</v>
      </c>
      <c r="C28" s="89">
        <f>C26/C27/12*1000</f>
        <v>73015.873015873018</v>
      </c>
      <c r="D28" s="89">
        <f>D26*1000/9/D27</f>
        <v>24338.62433862434</v>
      </c>
      <c r="E28" s="89">
        <f>E26*1000/3/E27</f>
        <v>140827.08333333334</v>
      </c>
      <c r="F28" s="89">
        <v>91197.4</v>
      </c>
    </row>
    <row r="29" spans="1:12" ht="25.5" x14ac:dyDescent="0.3">
      <c r="A29" s="5" t="s">
        <v>5</v>
      </c>
      <c r="B29" s="34" t="s">
        <v>2</v>
      </c>
      <c r="C29" s="20">
        <v>6048</v>
      </c>
      <c r="D29" s="20">
        <f>C29/12*3</f>
        <v>1512</v>
      </c>
      <c r="E29" s="20">
        <f>1512.1+F29</f>
        <v>3237.6</v>
      </c>
      <c r="F29" s="91">
        <v>1725.5</v>
      </c>
      <c r="G29" s="50"/>
      <c r="H29" s="50"/>
      <c r="I29" s="50"/>
      <c r="J29" s="50"/>
      <c r="K29" s="50"/>
      <c r="L29" s="50"/>
    </row>
    <row r="30" spans="1:12" ht="36.75" x14ac:dyDescent="0.3">
      <c r="A30" s="12" t="s">
        <v>6</v>
      </c>
      <c r="B30" s="34" t="s">
        <v>2</v>
      </c>
      <c r="C30" s="91">
        <v>10660</v>
      </c>
      <c r="D30" s="20">
        <f>C30/12*3</f>
        <v>2665</v>
      </c>
      <c r="E30" s="91">
        <f>7435.7+F30</f>
        <v>9086.4</v>
      </c>
      <c r="F30" s="91">
        <v>1650.7</v>
      </c>
      <c r="G30" s="50"/>
      <c r="H30" s="50"/>
      <c r="I30" s="50"/>
      <c r="J30" s="50"/>
      <c r="K30" s="50"/>
      <c r="L30" s="50"/>
    </row>
    <row r="31" spans="1:12" ht="25.5" x14ac:dyDescent="0.3">
      <c r="A31" s="12" t="s">
        <v>7</v>
      </c>
      <c r="B31" s="34" t="s">
        <v>2</v>
      </c>
      <c r="C31" s="91">
        <v>0</v>
      </c>
      <c r="D31" s="91">
        <f t="shared" si="1"/>
        <v>0</v>
      </c>
      <c r="E31" s="91">
        <v>0</v>
      </c>
      <c r="F31" s="91">
        <v>0</v>
      </c>
      <c r="G31" s="50"/>
      <c r="H31" s="50"/>
      <c r="I31" s="50"/>
      <c r="J31" s="50"/>
      <c r="K31" s="50"/>
      <c r="L31" s="50"/>
    </row>
    <row r="32" spans="1:12" ht="36.75" x14ac:dyDescent="0.3">
      <c r="A32" s="12" t="s">
        <v>8</v>
      </c>
      <c r="B32" s="34" t="s">
        <v>2</v>
      </c>
      <c r="C32" s="91">
        <v>200</v>
      </c>
      <c r="D32" s="20">
        <f>C32/12*3</f>
        <v>50</v>
      </c>
      <c r="E32" s="91">
        <v>0</v>
      </c>
      <c r="F32" s="91">
        <v>0</v>
      </c>
      <c r="G32" s="50"/>
      <c r="H32" s="50"/>
      <c r="I32" s="50"/>
      <c r="J32" s="50"/>
      <c r="K32" s="50"/>
      <c r="L32" s="50"/>
    </row>
    <row r="33" spans="1:12" ht="62.25" customHeight="1" x14ac:dyDescent="0.3">
      <c r="A33" s="12" t="s">
        <v>9</v>
      </c>
      <c r="B33" s="34" t="s">
        <v>2</v>
      </c>
      <c r="C33" s="91">
        <v>1279</v>
      </c>
      <c r="D33" s="20">
        <f>C33/12*3</f>
        <v>319.75</v>
      </c>
      <c r="E33" s="91">
        <v>19.100000000000001</v>
      </c>
      <c r="F33" s="91">
        <v>19.100000000000001</v>
      </c>
      <c r="G33" s="50">
        <v>19.100000000000001</v>
      </c>
      <c r="H33" s="50"/>
      <c r="I33" s="51"/>
      <c r="J33" s="51"/>
      <c r="K33" s="51"/>
      <c r="L33" s="5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pane xSplit="25035" topLeftCell="AC1"/>
      <selection activeCell="G33" sqref="G33"/>
      <selection pane="topRight" activeCell="F7" sqref="F7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2" style="2" customWidth="1"/>
    <col min="9" max="28" width="9.140625" style="2" customWidth="1"/>
    <col min="2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105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63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4" t="s">
        <v>106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27</v>
      </c>
      <c r="D11" s="48">
        <v>27</v>
      </c>
      <c r="E11" s="48">
        <v>27</v>
      </c>
      <c r="F11" s="48"/>
    </row>
    <row r="12" spans="1:8" ht="25.5" x14ac:dyDescent="0.3">
      <c r="A12" s="10" t="s">
        <v>20</v>
      </c>
      <c r="B12" s="34" t="s">
        <v>2</v>
      </c>
      <c r="C12" s="27">
        <f>(C13-C32)/C11</f>
        <v>1791.5925925925926</v>
      </c>
      <c r="D12" s="27">
        <f t="shared" ref="D12:E12" si="0">(D13-D32)/D11</f>
        <v>447.89814814814815</v>
      </c>
      <c r="E12" s="27">
        <f t="shared" si="0"/>
        <v>1259.225925925926</v>
      </c>
      <c r="F12" s="27"/>
    </row>
    <row r="13" spans="1:8" ht="25.5" x14ac:dyDescent="0.3">
      <c r="A13" s="5" t="s">
        <v>33</v>
      </c>
      <c r="B13" s="34" t="s">
        <v>2</v>
      </c>
      <c r="C13" s="70">
        <f>C15+C29+C30+C31+C32+C33</f>
        <v>48573</v>
      </c>
      <c r="D13" s="70">
        <f>D15+D29+D30+D31+D32+D33</f>
        <v>12143.25</v>
      </c>
      <c r="E13" s="70">
        <f>E15+E29+E30+E31+E32+E33</f>
        <v>33999.100000000006</v>
      </c>
      <c r="F13" s="69">
        <f>F15+F29+F30+F31+F32+F33</f>
        <v>15970.899999999998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32</v>
      </c>
      <c r="B15" s="34" t="s">
        <v>2</v>
      </c>
      <c r="C15" s="69">
        <f>C17+C20+C23+C26</f>
        <v>32412</v>
      </c>
      <c r="D15" s="69">
        <f>D17+D20+D23+D26</f>
        <v>8103</v>
      </c>
      <c r="E15" s="69">
        <f t="shared" ref="E15" si="2">E17+E20+E23+E26</f>
        <v>25709.9</v>
      </c>
      <c r="F15" s="69">
        <v>13749.9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1" s="18" customFormat="1" ht="25.5" x14ac:dyDescent="0.3">
      <c r="A17" s="20" t="s">
        <v>25</v>
      </c>
      <c r="B17" s="34" t="s">
        <v>2</v>
      </c>
      <c r="C17" s="46">
        <v>3400</v>
      </c>
      <c r="D17" s="46">
        <f>C17/12*3</f>
        <v>850</v>
      </c>
      <c r="E17" s="46">
        <f>1105.4+F17</f>
        <v>3391.3</v>
      </c>
      <c r="F17" s="46">
        <v>2285.9</v>
      </c>
      <c r="G17" s="29"/>
    </row>
    <row r="18" spans="1:11" s="18" customFormat="1" x14ac:dyDescent="0.3">
      <c r="A18" s="21" t="s">
        <v>4</v>
      </c>
      <c r="B18" s="22" t="s">
        <v>3</v>
      </c>
      <c r="C18" s="20">
        <v>2</v>
      </c>
      <c r="D18" s="20">
        <v>2</v>
      </c>
      <c r="E18" s="26">
        <v>3</v>
      </c>
      <c r="F18" s="26">
        <v>2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141666.66666666666</v>
      </c>
      <c r="D19" s="27">
        <f>D17*1000/9/D18</f>
        <v>47222.222222222219</v>
      </c>
      <c r="E19" s="27">
        <f>E17*1000/3/E18</f>
        <v>376811.11111111107</v>
      </c>
      <c r="F19" s="27">
        <v>380983.3</v>
      </c>
      <c r="G19" s="29"/>
    </row>
    <row r="20" spans="1:11" s="18" customFormat="1" ht="25.5" x14ac:dyDescent="0.3">
      <c r="A20" s="20" t="s">
        <v>26</v>
      </c>
      <c r="B20" s="34" t="s">
        <v>2</v>
      </c>
      <c r="C20" s="42">
        <v>21102</v>
      </c>
      <c r="D20" s="46">
        <f>C20/12*3</f>
        <v>5275.5</v>
      </c>
      <c r="E20" s="42">
        <f>8160.7+F20</f>
        <v>15158.9</v>
      </c>
      <c r="F20" s="42">
        <v>6998.2</v>
      </c>
      <c r="G20" s="29"/>
    </row>
    <row r="21" spans="1:11" x14ac:dyDescent="0.3">
      <c r="A21" s="10" t="s">
        <v>4</v>
      </c>
      <c r="B21" s="36" t="s">
        <v>3</v>
      </c>
      <c r="C21" s="107">
        <v>11</v>
      </c>
      <c r="D21" s="107">
        <v>11</v>
      </c>
      <c r="E21" s="28">
        <v>7</v>
      </c>
      <c r="F21" s="28">
        <v>6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159863.63636363635</v>
      </c>
      <c r="D22" s="27">
        <f>D20*1000/9/D21</f>
        <v>53287.878787878784</v>
      </c>
      <c r="E22" s="27">
        <f>E20*1000/3/E21</f>
        <v>721852.38095238095</v>
      </c>
      <c r="F22" s="27">
        <v>388788.9</v>
      </c>
    </row>
    <row r="23" spans="1:11" ht="39" x14ac:dyDescent="0.3">
      <c r="A23" s="14" t="s">
        <v>21</v>
      </c>
      <c r="B23" s="34" t="s">
        <v>2</v>
      </c>
      <c r="C23" s="42">
        <v>950</v>
      </c>
      <c r="D23" s="46">
        <f>C23/12*3</f>
        <v>237.5</v>
      </c>
      <c r="E23" s="42">
        <f>953.8+F23</f>
        <v>2368.1999999999998</v>
      </c>
      <c r="F23" s="42">
        <v>1414.4</v>
      </c>
    </row>
    <row r="24" spans="1:11" x14ac:dyDescent="0.3">
      <c r="A24" s="10" t="s">
        <v>4</v>
      </c>
      <c r="B24" s="36" t="s">
        <v>3</v>
      </c>
      <c r="C24" s="107">
        <v>2</v>
      </c>
      <c r="D24" s="107">
        <v>2</v>
      </c>
      <c r="E24" s="28">
        <v>2</v>
      </c>
      <c r="F24" s="28">
        <v>2</v>
      </c>
    </row>
    <row r="25" spans="1:11" ht="21.95" customHeight="1" x14ac:dyDescent="0.3">
      <c r="A25" s="10" t="s">
        <v>22</v>
      </c>
      <c r="B25" s="34" t="s">
        <v>23</v>
      </c>
      <c r="C25" s="27">
        <f>C23/C24/12*1000</f>
        <v>39583.333333333336</v>
      </c>
      <c r="D25" s="27">
        <f>D23*1000/9/D24</f>
        <v>13194.444444444445</v>
      </c>
      <c r="E25" s="27">
        <f>E23*1000/3/E24</f>
        <v>394700</v>
      </c>
      <c r="F25" s="27">
        <v>235733.3</v>
      </c>
    </row>
    <row r="26" spans="1:11" ht="25.5" x14ac:dyDescent="0.3">
      <c r="A26" s="7" t="s">
        <v>19</v>
      </c>
      <c r="B26" s="34" t="s">
        <v>2</v>
      </c>
      <c r="C26" s="42">
        <v>6960</v>
      </c>
      <c r="D26" s="46">
        <f>C26/12*3</f>
        <v>1740</v>
      </c>
      <c r="E26" s="68">
        <f>1740.1+F26</f>
        <v>4791.5</v>
      </c>
      <c r="F26" s="42">
        <v>3051.4</v>
      </c>
    </row>
    <row r="27" spans="1:11" x14ac:dyDescent="0.3">
      <c r="A27" s="10" t="s">
        <v>4</v>
      </c>
      <c r="B27" s="36" t="s">
        <v>3</v>
      </c>
      <c r="C27" s="110">
        <v>9.75</v>
      </c>
      <c r="D27" s="110">
        <v>9.75</v>
      </c>
      <c r="E27" s="28">
        <v>10</v>
      </c>
      <c r="F27" s="28">
        <v>10</v>
      </c>
    </row>
    <row r="28" spans="1:11" ht="21.95" customHeight="1" x14ac:dyDescent="0.3">
      <c r="A28" s="10" t="s">
        <v>22</v>
      </c>
      <c r="B28" s="34" t="s">
        <v>23</v>
      </c>
      <c r="C28" s="89">
        <f>C26/C27/12*1000</f>
        <v>59487.179487179485</v>
      </c>
      <c r="D28" s="89">
        <f>D26*1000/9/D27</f>
        <v>19829.059829059832</v>
      </c>
      <c r="E28" s="89">
        <f>E26*1000/3/E27</f>
        <v>159716.66666666669</v>
      </c>
      <c r="F28" s="89">
        <v>101713.3</v>
      </c>
    </row>
    <row r="29" spans="1:11" ht="25.5" x14ac:dyDescent="0.3">
      <c r="A29" s="5" t="s">
        <v>5</v>
      </c>
      <c r="B29" s="34" t="s">
        <v>2</v>
      </c>
      <c r="C29" s="89">
        <v>5887</v>
      </c>
      <c r="D29" s="20">
        <f>C29/12*3</f>
        <v>1471.75</v>
      </c>
      <c r="E29" s="89">
        <f>1253+F29</f>
        <v>2680.9</v>
      </c>
      <c r="F29" s="89">
        <v>1427.9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1">
        <v>8654</v>
      </c>
      <c r="D30" s="20">
        <f>C30/12*3</f>
        <v>2163.5</v>
      </c>
      <c r="E30" s="91">
        <f>4815.2+F30</f>
        <v>5137.5</v>
      </c>
      <c r="F30" s="91">
        <v>322.3</v>
      </c>
      <c r="G30" s="106"/>
      <c r="H30" s="106"/>
      <c r="I30" s="51"/>
      <c r="J30" s="51"/>
      <c r="K30" s="51"/>
    </row>
    <row r="31" spans="1:11" ht="25.5" x14ac:dyDescent="0.3">
      <c r="A31" s="12" t="s">
        <v>7</v>
      </c>
      <c r="B31" s="34" t="s">
        <v>2</v>
      </c>
      <c r="C31" s="91">
        <v>100</v>
      </c>
      <c r="D31" s="20">
        <f>C31/12*3</f>
        <v>25</v>
      </c>
      <c r="E31" s="91">
        <v>0</v>
      </c>
      <c r="F31" s="91">
        <v>0</v>
      </c>
      <c r="G31" s="106"/>
      <c r="H31" s="104"/>
      <c r="I31" s="47"/>
      <c r="J31" s="47"/>
      <c r="K31" s="47"/>
    </row>
    <row r="32" spans="1:11" ht="36.75" x14ac:dyDescent="0.3">
      <c r="A32" s="12" t="s">
        <v>8</v>
      </c>
      <c r="B32" s="34" t="s">
        <v>2</v>
      </c>
      <c r="C32" s="91">
        <v>200</v>
      </c>
      <c r="D32" s="20">
        <f>C32/12*3</f>
        <v>50</v>
      </c>
      <c r="E32" s="91">
        <v>0</v>
      </c>
      <c r="F32" s="91">
        <v>0</v>
      </c>
      <c r="G32" s="18"/>
      <c r="H32" s="18"/>
    </row>
    <row r="33" spans="1:8" ht="56.25" customHeight="1" x14ac:dyDescent="0.3">
      <c r="A33" s="12" t="s">
        <v>9</v>
      </c>
      <c r="B33" s="34" t="s">
        <v>2</v>
      </c>
      <c r="C33" s="91">
        <v>1320</v>
      </c>
      <c r="D33" s="20">
        <f>C33/12*3</f>
        <v>330</v>
      </c>
      <c r="E33" s="91">
        <v>470.8</v>
      </c>
      <c r="F33" s="91">
        <v>470.8</v>
      </c>
      <c r="G33" s="18"/>
      <c r="H33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8"/>
  <sheetViews>
    <sheetView zoomScale="80" zoomScaleNormal="80" workbookViewId="0">
      <selection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" style="29" customWidth="1"/>
    <col min="8" max="8" width="12" style="2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7"/>
    </row>
    <row r="2" spans="1:8" x14ac:dyDescent="0.3">
      <c r="A2" s="120" t="s">
        <v>90</v>
      </c>
      <c r="B2" s="120"/>
      <c r="C2" s="120"/>
      <c r="D2" s="120"/>
      <c r="E2" s="120"/>
      <c r="F2" s="57"/>
    </row>
    <row r="3" spans="1:8" x14ac:dyDescent="0.3">
      <c r="A3" s="1"/>
    </row>
    <row r="4" spans="1:8" ht="45" customHeight="1" x14ac:dyDescent="0.3">
      <c r="A4" s="132" t="s">
        <v>64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4" t="s">
        <v>91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243</v>
      </c>
      <c r="D11" s="48">
        <v>243</v>
      </c>
      <c r="E11" s="48">
        <v>243</v>
      </c>
      <c r="F11" s="48">
        <v>243</v>
      </c>
    </row>
    <row r="12" spans="1:8" ht="25.5" x14ac:dyDescent="0.3">
      <c r="A12" s="10" t="s">
        <v>20</v>
      </c>
      <c r="B12" s="34" t="s">
        <v>2</v>
      </c>
      <c r="C12" s="27">
        <f>(C13-C32)/C11</f>
        <v>554.70781893004119</v>
      </c>
      <c r="D12" s="27">
        <f t="shared" ref="D12:E12" si="0">(D13-D32)/D11</f>
        <v>138.6769547325103</v>
      </c>
      <c r="E12" s="27">
        <f t="shared" si="0"/>
        <v>533.19835390946503</v>
      </c>
      <c r="F12" s="27"/>
    </row>
    <row r="13" spans="1:8" ht="25.5" x14ac:dyDescent="0.3">
      <c r="A13" s="5" t="s">
        <v>74</v>
      </c>
      <c r="B13" s="34" t="s">
        <v>2</v>
      </c>
      <c r="C13" s="70">
        <f>C15+C29+C30+C31+C32+C33</f>
        <v>136194</v>
      </c>
      <c r="D13" s="70">
        <f>D15+D29+D30+D31+D32+D33</f>
        <v>34048.5</v>
      </c>
      <c r="E13" s="69">
        <f>E15+E29+E30+E31+E32+E33</f>
        <v>129567.2</v>
      </c>
      <c r="F13" s="69">
        <f>F15+F29+F30</f>
        <v>58871.200000000004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87</v>
      </c>
      <c r="B15" s="34" t="s">
        <v>2</v>
      </c>
      <c r="C15" s="69">
        <f>C17+C20+C23+C26</f>
        <v>96084</v>
      </c>
      <c r="D15" s="69">
        <f t="shared" ref="D15" si="2">D17+D20+D23+D26</f>
        <v>24021</v>
      </c>
      <c r="E15" s="69">
        <f>55431+F15</f>
        <v>104604.3</v>
      </c>
      <c r="F15" s="69">
        <v>49173.3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7" s="18" customFormat="1" ht="25.5" x14ac:dyDescent="0.3">
      <c r="A17" s="20" t="s">
        <v>25</v>
      </c>
      <c r="B17" s="34" t="s">
        <v>2</v>
      </c>
      <c r="C17" s="46">
        <v>10000</v>
      </c>
      <c r="D17" s="46">
        <f>C17/12*3</f>
        <v>2500</v>
      </c>
      <c r="E17" s="46">
        <f>3344.1+F17</f>
        <v>7395.1</v>
      </c>
      <c r="F17" s="46">
        <v>4051</v>
      </c>
      <c r="G17" s="29"/>
    </row>
    <row r="18" spans="1:17" s="18" customFormat="1" x14ac:dyDescent="0.3">
      <c r="A18" s="21" t="s">
        <v>4</v>
      </c>
      <c r="B18" s="36" t="s">
        <v>3</v>
      </c>
      <c r="C18" s="26">
        <v>4</v>
      </c>
      <c r="D18" s="26">
        <v>4</v>
      </c>
      <c r="E18" s="26">
        <v>4</v>
      </c>
      <c r="F18" s="26">
        <v>4</v>
      </c>
      <c r="G18" s="29"/>
    </row>
    <row r="19" spans="1:17" s="18" customFormat="1" ht="21.95" customHeight="1" x14ac:dyDescent="0.3">
      <c r="A19" s="21" t="s">
        <v>22</v>
      </c>
      <c r="B19" s="34" t="s">
        <v>23</v>
      </c>
      <c r="C19" s="27">
        <f>C17/C18/12*1000</f>
        <v>208333.33333333334</v>
      </c>
      <c r="D19" s="27">
        <f>D17*1000/9/D18</f>
        <v>69444.444444444438</v>
      </c>
      <c r="E19" s="27">
        <f>E17*1000/3/E18</f>
        <v>616258.33333333337</v>
      </c>
      <c r="F19" s="27">
        <v>337583.3</v>
      </c>
      <c r="G19" s="29"/>
    </row>
    <row r="20" spans="1:17" s="18" customFormat="1" ht="25.5" x14ac:dyDescent="0.3">
      <c r="A20" s="20" t="s">
        <v>26</v>
      </c>
      <c r="B20" s="34" t="s">
        <v>2</v>
      </c>
      <c r="C20" s="42">
        <v>68684</v>
      </c>
      <c r="D20" s="46">
        <f>C20/12*3</f>
        <v>17171</v>
      </c>
      <c r="E20" s="42">
        <f>39994.5+F21</f>
        <v>40027.5</v>
      </c>
      <c r="F20" s="42">
        <v>33403.300000000003</v>
      </c>
      <c r="G20" s="29"/>
    </row>
    <row r="21" spans="1:17" x14ac:dyDescent="0.3">
      <c r="A21" s="10" t="s">
        <v>4</v>
      </c>
      <c r="B21" s="36" t="s">
        <v>3</v>
      </c>
      <c r="C21" s="28">
        <v>42.6</v>
      </c>
      <c r="D21" s="28">
        <v>42.6</v>
      </c>
      <c r="E21" s="28">
        <v>46</v>
      </c>
      <c r="F21" s="28">
        <v>33</v>
      </c>
    </row>
    <row r="22" spans="1:17" ht="21.95" customHeight="1" x14ac:dyDescent="0.3">
      <c r="A22" s="10" t="s">
        <v>22</v>
      </c>
      <c r="B22" s="34" t="s">
        <v>23</v>
      </c>
      <c r="C22" s="27">
        <f>C20/C21/12*1000</f>
        <v>134358.37245696402</v>
      </c>
      <c r="D22" s="27">
        <f>D20*1000/9/D21</f>
        <v>44786.124152321339</v>
      </c>
      <c r="E22" s="27">
        <f>E20*1000/3/E21</f>
        <v>290054.34782608697</v>
      </c>
      <c r="F22" s="27">
        <v>337407.1</v>
      </c>
    </row>
    <row r="23" spans="1:17" ht="39" x14ac:dyDescent="0.3">
      <c r="A23" s="14" t="s">
        <v>21</v>
      </c>
      <c r="B23" s="34" t="s">
        <v>2</v>
      </c>
      <c r="C23" s="42">
        <v>9000</v>
      </c>
      <c r="D23" s="46">
        <f>C23/12*3</f>
        <v>2250</v>
      </c>
      <c r="E23" s="42">
        <f>3850.4+F23</f>
        <v>7645</v>
      </c>
      <c r="F23" s="42">
        <v>3794.6</v>
      </c>
    </row>
    <row r="24" spans="1:17" x14ac:dyDescent="0.3">
      <c r="A24" s="10" t="s">
        <v>4</v>
      </c>
      <c r="B24" s="36" t="s">
        <v>3</v>
      </c>
      <c r="C24" s="28">
        <v>10.5</v>
      </c>
      <c r="D24" s="28">
        <v>10.5</v>
      </c>
      <c r="E24" s="28">
        <v>5</v>
      </c>
      <c r="F24" s="28">
        <v>6</v>
      </c>
    </row>
    <row r="25" spans="1:17" ht="21.95" customHeight="1" x14ac:dyDescent="0.3">
      <c r="A25" s="10" t="s">
        <v>22</v>
      </c>
      <c r="B25" s="34" t="s">
        <v>23</v>
      </c>
      <c r="C25" s="27">
        <f>C23/C24/12*1000</f>
        <v>71428.571428571435</v>
      </c>
      <c r="D25" s="27">
        <f>D23*1000/9/D24</f>
        <v>23809.523809523809</v>
      </c>
      <c r="E25" s="27">
        <f>E23*1000/3/E24</f>
        <v>509666.66666666669</v>
      </c>
      <c r="F25" s="27">
        <v>210811.1</v>
      </c>
    </row>
    <row r="26" spans="1:17" ht="25.5" x14ac:dyDescent="0.3">
      <c r="A26" s="7" t="s">
        <v>19</v>
      </c>
      <c r="B26" s="34" t="s">
        <v>2</v>
      </c>
      <c r="C26" s="42">
        <v>8400</v>
      </c>
      <c r="D26" s="46">
        <f>C26/12*3</f>
        <v>2100</v>
      </c>
      <c r="E26" s="42">
        <v>8242</v>
      </c>
      <c r="F26" s="42">
        <v>3611.6</v>
      </c>
    </row>
    <row r="27" spans="1:17" x14ac:dyDescent="0.3">
      <c r="A27" s="10" t="s">
        <v>4</v>
      </c>
      <c r="B27" s="36" t="s">
        <v>3</v>
      </c>
      <c r="C27" s="28">
        <v>20.25</v>
      </c>
      <c r="D27" s="28">
        <v>20.25</v>
      </c>
      <c r="E27" s="28">
        <v>44</v>
      </c>
      <c r="F27" s="28">
        <v>35</v>
      </c>
    </row>
    <row r="28" spans="1:17" ht="21.95" customHeight="1" x14ac:dyDescent="0.3">
      <c r="A28" s="10" t="s">
        <v>22</v>
      </c>
      <c r="B28" s="34" t="s">
        <v>23</v>
      </c>
      <c r="C28" s="89">
        <f>C26/C27/12*1000</f>
        <v>34567.901234567908</v>
      </c>
      <c r="D28" s="89">
        <f>D26*1000/9/D27</f>
        <v>11522.633744855968</v>
      </c>
      <c r="E28" s="89">
        <f>E26*1000/3/E27</f>
        <v>62439.393939393944</v>
      </c>
      <c r="F28" s="27">
        <v>34396.199999999997</v>
      </c>
    </row>
    <row r="29" spans="1:17" ht="25.5" x14ac:dyDescent="0.3">
      <c r="A29" s="5" t="s">
        <v>5</v>
      </c>
      <c r="B29" s="34" t="s">
        <v>2</v>
      </c>
      <c r="C29" s="91">
        <v>16800</v>
      </c>
      <c r="D29" s="20">
        <f>C29/12*3</f>
        <v>4200</v>
      </c>
      <c r="E29" s="91">
        <f>4522.4+F29</f>
        <v>10845.4</v>
      </c>
      <c r="F29" s="91">
        <v>6323</v>
      </c>
      <c r="G29" s="43"/>
      <c r="H29" s="43"/>
      <c r="I29" s="43"/>
      <c r="J29" s="47"/>
      <c r="K29" s="47"/>
    </row>
    <row r="30" spans="1:17" ht="36.75" x14ac:dyDescent="0.3">
      <c r="A30" s="12" t="s">
        <v>6</v>
      </c>
      <c r="B30" s="34" t="s">
        <v>2</v>
      </c>
      <c r="C30" s="91">
        <v>16310</v>
      </c>
      <c r="D30" s="20">
        <f>C30/12*3</f>
        <v>4077.5</v>
      </c>
      <c r="E30" s="91">
        <f>8535.2+F30</f>
        <v>11910.1</v>
      </c>
      <c r="F30" s="91">
        <v>3374.9</v>
      </c>
      <c r="G30" s="50"/>
      <c r="H30" s="50"/>
      <c r="I30" s="51"/>
      <c r="J30" s="51"/>
      <c r="K30" s="51"/>
    </row>
    <row r="31" spans="1:17" ht="25.5" x14ac:dyDescent="0.3">
      <c r="A31" s="12" t="s">
        <v>7</v>
      </c>
      <c r="B31" s="34" t="s">
        <v>2</v>
      </c>
      <c r="C31" s="91">
        <v>0</v>
      </c>
      <c r="D31" s="91">
        <v>0</v>
      </c>
      <c r="E31" s="91">
        <v>0</v>
      </c>
      <c r="F31" s="91">
        <v>0</v>
      </c>
      <c r="G31" s="43"/>
      <c r="H31" s="47"/>
      <c r="I31" s="47"/>
      <c r="J31" s="47"/>
      <c r="K31" s="47"/>
      <c r="Q31" s="67"/>
    </row>
    <row r="32" spans="1:17" ht="36.75" x14ac:dyDescent="0.3">
      <c r="A32" s="12" t="s">
        <v>8</v>
      </c>
      <c r="B32" s="34" t="s">
        <v>2</v>
      </c>
      <c r="C32" s="91">
        <v>1400</v>
      </c>
      <c r="D32" s="20">
        <f>C32/12*3</f>
        <v>350</v>
      </c>
      <c r="E32" s="91">
        <v>0</v>
      </c>
      <c r="F32" s="91">
        <v>0</v>
      </c>
    </row>
    <row r="33" spans="1:6" ht="57" customHeight="1" x14ac:dyDescent="0.3">
      <c r="A33" s="12" t="s">
        <v>9</v>
      </c>
      <c r="B33" s="34" t="s">
        <v>2</v>
      </c>
      <c r="C33" s="91">
        <v>5600</v>
      </c>
      <c r="D33" s="20">
        <f>C33/12*3</f>
        <v>1400</v>
      </c>
      <c r="E33" s="91">
        <f>2148.2+F33</f>
        <v>2207.3999999999996</v>
      </c>
      <c r="F33" s="91">
        <v>59.2</v>
      </c>
    </row>
    <row r="34" spans="1:6" x14ac:dyDescent="0.3">
      <c r="C34" s="18"/>
      <c r="D34" s="18"/>
      <c r="E34" s="18"/>
    </row>
    <row r="35" spans="1:6" x14ac:dyDescent="0.3">
      <c r="C35" s="18"/>
      <c r="D35" s="18"/>
      <c r="E35" s="18"/>
    </row>
    <row r="36" spans="1:6" x14ac:dyDescent="0.3">
      <c r="C36" s="18"/>
      <c r="D36" s="18"/>
      <c r="E36" s="18"/>
    </row>
    <row r="37" spans="1:6" x14ac:dyDescent="0.3">
      <c r="C37" s="18"/>
      <c r="D37" s="18"/>
      <c r="E37" s="18"/>
    </row>
    <row r="38" spans="1:6" x14ac:dyDescent="0.3">
      <c r="C38" s="18"/>
      <c r="D38" s="18"/>
      <c r="E38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4"/>
  <sheetViews>
    <sheetView zoomScale="60" zoomScaleNormal="60" workbookViewId="0">
      <selection activeCell="G34" sqref="G34"/>
    </sheetView>
  </sheetViews>
  <sheetFormatPr defaultColWidth="9.140625" defaultRowHeight="20.25" x14ac:dyDescent="0.3"/>
  <cols>
    <col min="1" max="1" width="71.28515625" style="2" customWidth="1"/>
    <col min="2" max="2" width="9.140625" style="3"/>
    <col min="3" max="4" width="12" style="31" customWidth="1"/>
    <col min="5" max="6" width="12.7109375" style="31" customWidth="1"/>
    <col min="7" max="7" width="13.5703125" style="29" customWidth="1"/>
    <col min="8" max="8" width="12" style="29" customWidth="1"/>
    <col min="9" max="9" width="9.140625" style="29"/>
    <col min="10" max="11" width="9.140625" style="2"/>
    <col min="12" max="12" width="13.42578125" style="2" customWidth="1"/>
    <col min="13" max="16384" width="9.140625" style="2"/>
  </cols>
  <sheetData>
    <row r="1" spans="1:30" x14ac:dyDescent="0.3">
      <c r="A1" s="120" t="s">
        <v>12</v>
      </c>
      <c r="B1" s="120"/>
      <c r="C1" s="120"/>
      <c r="D1" s="120"/>
      <c r="E1" s="120"/>
      <c r="F1" s="60"/>
    </row>
    <row r="2" spans="1:30" x14ac:dyDescent="0.3">
      <c r="A2" s="120" t="s">
        <v>90</v>
      </c>
      <c r="B2" s="120"/>
      <c r="C2" s="120"/>
      <c r="D2" s="120"/>
      <c r="E2" s="120"/>
      <c r="F2" s="60"/>
      <c r="AD2" s="2">
        <v>28</v>
      </c>
    </row>
    <row r="3" spans="1:30" x14ac:dyDescent="0.3">
      <c r="A3" s="1"/>
    </row>
    <row r="4" spans="1:30" x14ac:dyDescent="0.3">
      <c r="A4" s="127" t="s">
        <v>40</v>
      </c>
      <c r="B4" s="127"/>
      <c r="C4" s="127"/>
      <c r="D4" s="127"/>
      <c r="E4" s="127"/>
      <c r="F4" s="61"/>
    </row>
    <row r="5" spans="1:30" x14ac:dyDescent="0.3">
      <c r="A5" s="131" t="s">
        <v>39</v>
      </c>
      <c r="B5" s="131"/>
      <c r="C5" s="131"/>
      <c r="D5" s="131"/>
      <c r="E5" s="131"/>
      <c r="F5" s="61"/>
    </row>
    <row r="6" spans="1:30" ht="15.75" customHeight="1" x14ac:dyDescent="0.3">
      <c r="A6" s="121" t="s">
        <v>13</v>
      </c>
      <c r="B6" s="121"/>
      <c r="C6" s="121"/>
      <c r="D6" s="121"/>
      <c r="E6" s="121"/>
      <c r="F6" s="59"/>
    </row>
    <row r="7" spans="1:30" x14ac:dyDescent="0.3">
      <c r="A7" s="4"/>
    </row>
    <row r="8" spans="1:30" x14ac:dyDescent="0.3">
      <c r="A8" s="13" t="s">
        <v>14</v>
      </c>
    </row>
    <row r="9" spans="1:30" x14ac:dyDescent="0.3">
      <c r="A9" s="1"/>
      <c r="L9" s="29"/>
    </row>
    <row r="10" spans="1:30" x14ac:dyDescent="0.3">
      <c r="A10" s="122" t="s">
        <v>24</v>
      </c>
      <c r="B10" s="130" t="s">
        <v>15</v>
      </c>
      <c r="C10" s="124" t="s">
        <v>35</v>
      </c>
      <c r="D10" s="124"/>
      <c r="E10" s="124"/>
      <c r="F10" s="108" t="s">
        <v>91</v>
      </c>
    </row>
    <row r="11" spans="1:30" ht="40.5" x14ac:dyDescent="0.3">
      <c r="A11" s="122"/>
      <c r="B11" s="130"/>
      <c r="C11" s="32" t="s">
        <v>16</v>
      </c>
      <c r="D11" s="32" t="s">
        <v>17</v>
      </c>
      <c r="E11" s="33" t="s">
        <v>11</v>
      </c>
      <c r="F11" s="33"/>
    </row>
    <row r="12" spans="1:30" x14ac:dyDescent="0.3">
      <c r="A12" s="5" t="s">
        <v>18</v>
      </c>
      <c r="B12" s="6" t="s">
        <v>10</v>
      </c>
      <c r="C12" s="42">
        <v>379</v>
      </c>
      <c r="D12" s="42">
        <v>379</v>
      </c>
      <c r="E12" s="42">
        <v>379</v>
      </c>
      <c r="F12" s="42"/>
    </row>
    <row r="13" spans="1:30" ht="25.5" x14ac:dyDescent="0.3">
      <c r="A13" s="10" t="s">
        <v>20</v>
      </c>
      <c r="B13" s="6" t="s">
        <v>2</v>
      </c>
      <c r="C13" s="27">
        <f t="shared" ref="C13" si="0">(C14-C33)/C12</f>
        <v>522.7862796833773</v>
      </c>
      <c r="D13" s="27">
        <f t="shared" ref="D13" si="1">(D14-D33)/D12</f>
        <v>272.89445910290237</v>
      </c>
      <c r="E13" s="27">
        <f>(E14-E33)/E12</f>
        <v>182.96622691292876</v>
      </c>
      <c r="F13" s="27"/>
    </row>
    <row r="14" spans="1:30" ht="25.5" x14ac:dyDescent="0.3">
      <c r="A14" s="5" t="s">
        <v>73</v>
      </c>
      <c r="B14" s="6" t="s">
        <v>2</v>
      </c>
      <c r="C14" s="69">
        <f>C16+C30+C31+C32+C33+C34</f>
        <v>201206</v>
      </c>
      <c r="D14" s="69">
        <f>D16+D30+D31+D32+D33+D34</f>
        <v>104194.5</v>
      </c>
      <c r="E14" s="69">
        <f>E16+E30+E31+E32+E33+E34</f>
        <v>78923.7</v>
      </c>
      <c r="F14" s="69">
        <f>F16+F30+F31+F32+F33+F34</f>
        <v>63951.9</v>
      </c>
    </row>
    <row r="15" spans="1:30" x14ac:dyDescent="0.3">
      <c r="A15" s="8" t="s">
        <v>0</v>
      </c>
      <c r="B15" s="9"/>
      <c r="C15" s="27">
        <v>0</v>
      </c>
      <c r="D15" s="27">
        <f t="shared" ref="D15" si="2">C15</f>
        <v>0</v>
      </c>
      <c r="E15" s="27">
        <v>0</v>
      </c>
      <c r="F15" s="27"/>
      <c r="G15" s="38"/>
      <c r="H15" s="31"/>
    </row>
    <row r="16" spans="1:30" ht="25.5" x14ac:dyDescent="0.3">
      <c r="A16" s="5" t="s">
        <v>70</v>
      </c>
      <c r="B16" s="6" t="s">
        <v>2</v>
      </c>
      <c r="C16" s="69">
        <v>155916</v>
      </c>
      <c r="D16" s="69">
        <f t="shared" ref="D16" si="3">D18+D21+D24+D27</f>
        <v>86287</v>
      </c>
      <c r="E16" s="69">
        <v>37825.599999999999</v>
      </c>
      <c r="F16" s="69">
        <v>38342.5</v>
      </c>
      <c r="G16" s="71"/>
    </row>
    <row r="17" spans="1:12" x14ac:dyDescent="0.3">
      <c r="A17" s="8" t="s">
        <v>1</v>
      </c>
      <c r="B17" s="9"/>
      <c r="C17" s="26"/>
      <c r="D17" s="26"/>
      <c r="E17" s="26"/>
      <c r="F17" s="26"/>
      <c r="G17" s="38"/>
      <c r="L17" s="2" t="s">
        <v>65</v>
      </c>
    </row>
    <row r="18" spans="1:12" s="18" customFormat="1" ht="25.5" x14ac:dyDescent="0.3">
      <c r="A18" s="20" t="s">
        <v>25</v>
      </c>
      <c r="B18" s="17" t="s">
        <v>2</v>
      </c>
      <c r="C18" s="46">
        <v>11052.8</v>
      </c>
      <c r="D18" s="46">
        <v>6817</v>
      </c>
      <c r="E18" s="46">
        <f>2763.2+F18</f>
        <v>4250.3999999999996</v>
      </c>
      <c r="F18" s="46">
        <v>1487.2</v>
      </c>
      <c r="G18" s="71"/>
      <c r="H18" s="29"/>
      <c r="I18" s="29"/>
    </row>
    <row r="19" spans="1:12" s="18" customFormat="1" x14ac:dyDescent="0.3">
      <c r="A19" s="21" t="s">
        <v>4</v>
      </c>
      <c r="B19" s="22" t="s">
        <v>3</v>
      </c>
      <c r="C19" s="20">
        <v>4</v>
      </c>
      <c r="D19" s="20">
        <v>4</v>
      </c>
      <c r="E19" s="26">
        <v>4</v>
      </c>
      <c r="F19" s="26">
        <v>3</v>
      </c>
      <c r="G19" s="29"/>
      <c r="H19" s="29"/>
      <c r="I19" s="29"/>
    </row>
    <row r="20" spans="1:12" s="18" customFormat="1" ht="21.95" customHeight="1" x14ac:dyDescent="0.3">
      <c r="A20" s="21" t="s">
        <v>22</v>
      </c>
      <c r="B20" s="17" t="s">
        <v>23</v>
      </c>
      <c r="C20" s="27">
        <f>C18*1000/12/C19</f>
        <v>230266.66666666666</v>
      </c>
      <c r="D20" s="27">
        <f>D18*1000/3/D19</f>
        <v>568083.33333333337</v>
      </c>
      <c r="E20" s="27">
        <f>E18*1000/3/E19</f>
        <v>354200</v>
      </c>
      <c r="F20" s="27">
        <v>83483.3</v>
      </c>
      <c r="G20" s="29"/>
      <c r="H20" s="29"/>
      <c r="I20" s="29"/>
    </row>
    <row r="21" spans="1:12" s="18" customFormat="1" ht="25.5" x14ac:dyDescent="0.3">
      <c r="A21" s="20" t="s">
        <v>26</v>
      </c>
      <c r="B21" s="17" t="s">
        <v>2</v>
      </c>
      <c r="C21" s="46">
        <v>104088.8</v>
      </c>
      <c r="D21" s="46">
        <v>61700</v>
      </c>
      <c r="E21" s="46">
        <f>26022.2+F21</f>
        <v>64357.100000000006</v>
      </c>
      <c r="F21" s="46">
        <v>38334.9</v>
      </c>
      <c r="G21" s="71"/>
      <c r="H21" s="29"/>
      <c r="I21" s="29" t="s">
        <v>27</v>
      </c>
    </row>
    <row r="22" spans="1:12" s="18" customFormat="1" x14ac:dyDescent="0.3">
      <c r="A22" s="21" t="s">
        <v>4</v>
      </c>
      <c r="B22" s="22" t="s">
        <v>3</v>
      </c>
      <c r="C22" s="20">
        <v>39.299999999999997</v>
      </c>
      <c r="D22" s="20">
        <v>39.299999999999997</v>
      </c>
      <c r="E22" s="26">
        <v>40</v>
      </c>
      <c r="F22" s="26">
        <v>33</v>
      </c>
      <c r="G22" s="29"/>
      <c r="H22" s="29"/>
      <c r="I22" s="29"/>
    </row>
    <row r="23" spans="1:12" ht="21.95" customHeight="1" x14ac:dyDescent="0.3">
      <c r="A23" s="10" t="s">
        <v>22</v>
      </c>
      <c r="B23" s="6" t="s">
        <v>23</v>
      </c>
      <c r="C23" s="27">
        <f>C21*1000/12/C22</f>
        <v>220714.16454622563</v>
      </c>
      <c r="D23" s="27">
        <f>D21*1000/3/D22</f>
        <v>523324.85156912648</v>
      </c>
      <c r="E23" s="27">
        <f>E21*1000/3/E22</f>
        <v>536309.16666666674</v>
      </c>
      <c r="F23" s="27">
        <v>216851.7</v>
      </c>
      <c r="I23" s="29" t="s">
        <v>27</v>
      </c>
    </row>
    <row r="24" spans="1:12" ht="39" x14ac:dyDescent="0.3">
      <c r="A24" s="14" t="s">
        <v>21</v>
      </c>
      <c r="B24" s="6" t="s">
        <v>2</v>
      </c>
      <c r="C24" s="46">
        <v>17854</v>
      </c>
      <c r="D24" s="46">
        <v>5736</v>
      </c>
      <c r="E24" s="46">
        <f>4463.6+F24</f>
        <v>6806.4000000000005</v>
      </c>
      <c r="F24" s="46">
        <v>2342.8000000000002</v>
      </c>
      <c r="G24" s="71"/>
      <c r="L24" s="2" t="s">
        <v>28</v>
      </c>
    </row>
    <row r="25" spans="1:12" x14ac:dyDescent="0.3">
      <c r="A25" s="10" t="s">
        <v>4</v>
      </c>
      <c r="B25" s="11" t="s">
        <v>3</v>
      </c>
      <c r="C25" s="20">
        <v>12</v>
      </c>
      <c r="D25" s="20">
        <v>12</v>
      </c>
      <c r="E25" s="26">
        <v>9</v>
      </c>
      <c r="F25" s="26">
        <v>6</v>
      </c>
    </row>
    <row r="26" spans="1:12" ht="21.95" customHeight="1" x14ac:dyDescent="0.3">
      <c r="A26" s="10" t="s">
        <v>22</v>
      </c>
      <c r="B26" s="6" t="s">
        <v>23</v>
      </c>
      <c r="C26" s="27">
        <f>C24*1000/12/C25</f>
        <v>123986.11111111111</v>
      </c>
      <c r="D26" s="27">
        <f>D24*1000/3/D25</f>
        <v>159333.33333333334</v>
      </c>
      <c r="E26" s="27">
        <f>E24*1000/3/E25</f>
        <v>252088.88888888893</v>
      </c>
      <c r="F26" s="27">
        <v>130155.6</v>
      </c>
    </row>
    <row r="27" spans="1:12" ht="25.5" x14ac:dyDescent="0.3">
      <c r="A27" s="7" t="s">
        <v>19</v>
      </c>
      <c r="B27" s="6" t="s">
        <v>2</v>
      </c>
      <c r="C27" s="46">
        <v>18300</v>
      </c>
      <c r="D27" s="46">
        <v>12034</v>
      </c>
      <c r="E27" s="46">
        <f>4576.6+F27</f>
        <v>8404.7999999999993</v>
      </c>
      <c r="F27" s="46">
        <v>3828.2</v>
      </c>
      <c r="G27" s="71"/>
    </row>
    <row r="28" spans="1:12" x14ac:dyDescent="0.3">
      <c r="A28" s="10" t="s">
        <v>4</v>
      </c>
      <c r="B28" s="11" t="s">
        <v>3</v>
      </c>
      <c r="C28" s="20">
        <v>27.25</v>
      </c>
      <c r="D28" s="20">
        <v>27.25</v>
      </c>
      <c r="E28" s="26">
        <v>28</v>
      </c>
      <c r="F28" s="26">
        <v>21</v>
      </c>
    </row>
    <row r="29" spans="1:12" ht="21.95" customHeight="1" x14ac:dyDescent="0.3">
      <c r="A29" s="10" t="s">
        <v>22</v>
      </c>
      <c r="B29" s="6" t="s">
        <v>23</v>
      </c>
      <c r="C29" s="27">
        <f>C27*1000/12/C28</f>
        <v>55963.302752293581</v>
      </c>
      <c r="D29" s="27">
        <f>D27*1000/3/D28</f>
        <v>147204.89296636087</v>
      </c>
      <c r="E29" s="27">
        <f>E27*1000/3/E28</f>
        <v>100057.14285714286</v>
      </c>
      <c r="F29" s="27">
        <v>60765.1</v>
      </c>
    </row>
    <row r="30" spans="1:12" ht="25.5" x14ac:dyDescent="0.3">
      <c r="A30" s="5" t="s">
        <v>5</v>
      </c>
      <c r="B30" s="6" t="s">
        <v>2</v>
      </c>
      <c r="C30" s="89">
        <v>15074</v>
      </c>
      <c r="D30" s="89">
        <f>C30/12*3</f>
        <v>3768.5</v>
      </c>
      <c r="E30" s="89">
        <f>3914.2+F30</f>
        <v>14612.7</v>
      </c>
      <c r="F30" s="89">
        <v>10698.5</v>
      </c>
      <c r="G30" s="43"/>
      <c r="H30" s="43"/>
      <c r="I30" s="43"/>
      <c r="J30" s="47"/>
      <c r="K30" s="47"/>
    </row>
    <row r="31" spans="1:12" ht="36.75" x14ac:dyDescent="0.3">
      <c r="A31" s="12" t="s">
        <v>6</v>
      </c>
      <c r="B31" s="6" t="s">
        <v>2</v>
      </c>
      <c r="C31" s="27">
        <v>8640</v>
      </c>
      <c r="D31" s="89">
        <v>8745</v>
      </c>
      <c r="E31" s="89">
        <f>3256.7+1872.2+F31</f>
        <v>14251.199999999999</v>
      </c>
      <c r="F31" s="89">
        <v>9122.2999999999993</v>
      </c>
      <c r="G31" s="62"/>
      <c r="H31" s="62"/>
      <c r="I31" s="62"/>
      <c r="J31" s="63"/>
      <c r="K31" s="63"/>
    </row>
    <row r="32" spans="1:12" ht="25.5" x14ac:dyDescent="0.3">
      <c r="A32" s="12" t="s">
        <v>7</v>
      </c>
      <c r="B32" s="6" t="s">
        <v>2</v>
      </c>
      <c r="C32" s="27">
        <v>540</v>
      </c>
      <c r="D32" s="89">
        <f>C32/12*3</f>
        <v>135</v>
      </c>
      <c r="E32" s="89">
        <v>0</v>
      </c>
      <c r="F32" s="89">
        <v>0</v>
      </c>
      <c r="G32" s="62"/>
      <c r="H32" s="62"/>
      <c r="I32" s="62"/>
      <c r="J32" s="63"/>
      <c r="K32" s="63"/>
    </row>
    <row r="33" spans="1:12" ht="36.75" x14ac:dyDescent="0.3">
      <c r="A33" s="12" t="s">
        <v>8</v>
      </c>
      <c r="B33" s="6" t="s">
        <v>2</v>
      </c>
      <c r="C33" s="27">
        <v>3070</v>
      </c>
      <c r="D33" s="89">
        <f>C33/12*3</f>
        <v>767.5</v>
      </c>
      <c r="E33" s="89">
        <f>4736+F33</f>
        <v>9579.5</v>
      </c>
      <c r="F33" s="89">
        <v>4843.5</v>
      </c>
      <c r="G33" s="72"/>
      <c r="H33" s="72"/>
      <c r="I33" s="72"/>
      <c r="J33" s="56"/>
      <c r="K33" s="56"/>
      <c r="L33" s="56"/>
    </row>
    <row r="34" spans="1:12" ht="54" customHeight="1" x14ac:dyDescent="0.3">
      <c r="A34" s="12" t="s">
        <v>9</v>
      </c>
      <c r="B34" s="6" t="s">
        <v>2</v>
      </c>
      <c r="C34" s="27">
        <v>17966</v>
      </c>
      <c r="D34" s="89">
        <f>C34/12*3</f>
        <v>4491.5</v>
      </c>
      <c r="E34" s="89">
        <f>1709.6+F34</f>
        <v>2654.7</v>
      </c>
      <c r="F34" s="89">
        <v>945.1</v>
      </c>
    </row>
  </sheetData>
  <mergeCells count="8">
    <mergeCell ref="A1:E1"/>
    <mergeCell ref="A2:E2"/>
    <mergeCell ref="A4:E4"/>
    <mergeCell ref="A6:E6"/>
    <mergeCell ref="A10:A11"/>
    <mergeCell ref="B10:B11"/>
    <mergeCell ref="C10:E10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L27" sqref="L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42578125" style="31" customWidth="1"/>
    <col min="4" max="4" width="12" style="31" customWidth="1"/>
    <col min="5" max="6" width="13.42578125" style="37" customWidth="1"/>
    <col min="7" max="7" width="12" style="29" customWidth="1"/>
    <col min="8" max="8" width="9.140625" style="29"/>
    <col min="9" max="10" width="9.140625" style="2"/>
    <col min="11" max="11" width="11.5703125" style="2" customWidth="1"/>
    <col min="12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  <c r="F1" s="60"/>
    </row>
    <row r="2" spans="1:11" x14ac:dyDescent="0.3">
      <c r="A2" s="120" t="s">
        <v>90</v>
      </c>
      <c r="B2" s="120"/>
      <c r="C2" s="120"/>
      <c r="D2" s="120"/>
      <c r="E2" s="120"/>
      <c r="F2" s="60"/>
    </row>
    <row r="3" spans="1:11" x14ac:dyDescent="0.3">
      <c r="A3" s="1"/>
    </row>
    <row r="4" spans="1:11" ht="40.5" customHeight="1" x14ac:dyDescent="0.3">
      <c r="A4" s="132" t="s">
        <v>41</v>
      </c>
      <c r="B4" s="132"/>
      <c r="C4" s="132"/>
      <c r="D4" s="132"/>
      <c r="E4" s="132"/>
      <c r="F4" s="58"/>
    </row>
    <row r="5" spans="1:11" ht="15.75" customHeight="1" x14ac:dyDescent="0.3">
      <c r="A5" s="121" t="s">
        <v>13</v>
      </c>
      <c r="B5" s="121"/>
      <c r="C5" s="121"/>
      <c r="D5" s="121"/>
      <c r="E5" s="121"/>
      <c r="F5" s="59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  <c r="K8" s="29"/>
    </row>
    <row r="9" spans="1:11" x14ac:dyDescent="0.3">
      <c r="A9" s="122" t="s">
        <v>24</v>
      </c>
      <c r="B9" s="130" t="s">
        <v>15</v>
      </c>
      <c r="C9" s="124" t="s">
        <v>38</v>
      </c>
      <c r="D9" s="124"/>
      <c r="E9" s="124"/>
      <c r="F9" s="108" t="s">
        <v>92</v>
      </c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1" x14ac:dyDescent="0.3">
      <c r="A11" s="5" t="s">
        <v>18</v>
      </c>
      <c r="B11" s="6" t="s">
        <v>10</v>
      </c>
      <c r="C11" s="42">
        <v>758</v>
      </c>
      <c r="D11" s="42">
        <v>758</v>
      </c>
      <c r="E11" s="42">
        <v>758</v>
      </c>
      <c r="F11" s="42">
        <v>758</v>
      </c>
    </row>
    <row r="12" spans="1:11" ht="25.5" x14ac:dyDescent="0.3">
      <c r="A12" s="10" t="s">
        <v>20</v>
      </c>
      <c r="B12" s="6" t="s">
        <v>2</v>
      </c>
      <c r="C12" s="27">
        <f>(C13-C32)/C11</f>
        <v>414.38522427440631</v>
      </c>
      <c r="D12" s="27">
        <f t="shared" ref="D12:E12" si="0">(D13-D32)/D11</f>
        <v>253.84564643799473</v>
      </c>
      <c r="E12" s="27">
        <f t="shared" si="0"/>
        <v>154.28707124010558</v>
      </c>
      <c r="F12" s="27"/>
    </row>
    <row r="13" spans="1:11" ht="25.5" x14ac:dyDescent="0.3">
      <c r="A13" s="5" t="s">
        <v>67</v>
      </c>
      <c r="B13" s="6" t="s">
        <v>2</v>
      </c>
      <c r="C13" s="69">
        <f>C15+C29+C30+C31+C32+C33</f>
        <v>330774</v>
      </c>
      <c r="D13" s="69">
        <f>D15+D29+D30+D31+D32+D33</f>
        <v>196582.5</v>
      </c>
      <c r="E13" s="69">
        <f>E15+E29+E30+E31+E32+E33</f>
        <v>131329.40000000002</v>
      </c>
      <c r="F13" s="69">
        <f>F15+F29+F30+F31+F32+F33</f>
        <v>107546.4</v>
      </c>
    </row>
    <row r="14" spans="1:11" x14ac:dyDescent="0.3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G14" s="31"/>
    </row>
    <row r="15" spans="1:11" ht="25.5" x14ac:dyDescent="0.3">
      <c r="A15" s="5" t="s">
        <v>72</v>
      </c>
      <c r="B15" s="6" t="s">
        <v>2</v>
      </c>
      <c r="C15" s="69">
        <f>C17+C20+C23+C26</f>
        <v>247980</v>
      </c>
      <c r="D15" s="69">
        <f>D17+D20+D23+D26</f>
        <v>175884</v>
      </c>
      <c r="E15" s="69">
        <v>79520.5</v>
      </c>
      <c r="F15" s="69">
        <v>81988.399999999994</v>
      </c>
    </row>
    <row r="16" spans="1:11" x14ac:dyDescent="0.3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</row>
    <row r="17" spans="1:10" s="18" customFormat="1" ht="25.5" x14ac:dyDescent="0.3">
      <c r="A17" s="20" t="s">
        <v>25</v>
      </c>
      <c r="B17" s="17" t="s">
        <v>2</v>
      </c>
      <c r="C17" s="42">
        <v>10364</v>
      </c>
      <c r="D17" s="42">
        <v>13238</v>
      </c>
      <c r="E17" s="42">
        <v>2591.1999999999998</v>
      </c>
      <c r="F17" s="42">
        <v>8768.2000000000007</v>
      </c>
      <c r="G17" s="29"/>
      <c r="H17" s="29"/>
    </row>
    <row r="18" spans="1:10" s="18" customFormat="1" x14ac:dyDescent="0.3">
      <c r="A18" s="21" t="s">
        <v>4</v>
      </c>
      <c r="B18" s="22" t="s">
        <v>3</v>
      </c>
      <c r="C18" s="107">
        <v>5.5</v>
      </c>
      <c r="D18" s="89">
        <v>5.5</v>
      </c>
      <c r="E18" s="27">
        <v>4</v>
      </c>
      <c r="F18" s="27">
        <v>5</v>
      </c>
      <c r="G18" s="29"/>
      <c r="H18" s="29"/>
    </row>
    <row r="19" spans="1:10" s="18" customFormat="1" ht="21.95" customHeight="1" x14ac:dyDescent="0.3">
      <c r="A19" s="21" t="s">
        <v>22</v>
      </c>
      <c r="B19" s="17" t="s">
        <v>23</v>
      </c>
      <c r="C19" s="27">
        <f>C17/C18/12*1000</f>
        <v>157030.30303030304</v>
      </c>
      <c r="D19" s="27">
        <f>D17*1000/3/D18</f>
        <v>802303.03030303039</v>
      </c>
      <c r="E19" s="27">
        <f>E17*1000/3/E18</f>
        <v>215933.33333333334</v>
      </c>
      <c r="F19" s="27">
        <v>292273.3</v>
      </c>
      <c r="G19" s="31"/>
      <c r="H19" s="29"/>
    </row>
    <row r="20" spans="1:10" s="18" customFormat="1" ht="25.5" x14ac:dyDescent="0.3">
      <c r="A20" s="20" t="s">
        <v>26</v>
      </c>
      <c r="B20" s="17" t="s">
        <v>2</v>
      </c>
      <c r="C20" s="42">
        <v>194664</v>
      </c>
      <c r="D20" s="42">
        <v>119742</v>
      </c>
      <c r="E20" s="42">
        <f>61691.5+F20</f>
        <v>196571.6</v>
      </c>
      <c r="F20" s="42">
        <v>134880.1</v>
      </c>
      <c r="G20" s="29"/>
      <c r="H20" s="29"/>
    </row>
    <row r="21" spans="1:10" s="18" customFormat="1" x14ac:dyDescent="0.3">
      <c r="A21" s="21" t="s">
        <v>4</v>
      </c>
      <c r="B21" s="22" t="s">
        <v>3</v>
      </c>
      <c r="C21" s="107">
        <v>71</v>
      </c>
      <c r="D21" s="89">
        <v>71</v>
      </c>
      <c r="E21" s="27">
        <v>57</v>
      </c>
      <c r="F21" s="27">
        <v>65</v>
      </c>
      <c r="G21" s="29"/>
      <c r="H21" s="29"/>
    </row>
    <row r="22" spans="1:10" ht="21.95" customHeight="1" x14ac:dyDescent="0.3">
      <c r="A22" s="10" t="s">
        <v>22</v>
      </c>
      <c r="B22" s="6" t="s">
        <v>23</v>
      </c>
      <c r="C22" s="27">
        <f>C20*1000/12/C21</f>
        <v>228478.87323943662</v>
      </c>
      <c r="D22" s="27">
        <f>D20*1000/3/D21</f>
        <v>562169.01408450701</v>
      </c>
      <c r="E22" s="27">
        <f>E20*1000/3/E21</f>
        <v>1149541.5204678362</v>
      </c>
      <c r="F22" s="27">
        <v>345846.4</v>
      </c>
    </row>
    <row r="23" spans="1:10" ht="39" x14ac:dyDescent="0.3">
      <c r="A23" s="14" t="s">
        <v>21</v>
      </c>
      <c r="B23" s="6" t="s">
        <v>2</v>
      </c>
      <c r="C23" s="42">
        <v>22182</v>
      </c>
      <c r="D23" s="42">
        <v>9174</v>
      </c>
      <c r="E23" s="42">
        <f>6295.6+F23</f>
        <v>15095.800000000001</v>
      </c>
      <c r="F23" s="42">
        <v>8800.2000000000007</v>
      </c>
    </row>
    <row r="24" spans="1:10" x14ac:dyDescent="0.3">
      <c r="A24" s="10" t="s">
        <v>4</v>
      </c>
      <c r="B24" s="11" t="s">
        <v>3</v>
      </c>
      <c r="C24" s="107">
        <v>16.5</v>
      </c>
      <c r="D24" s="89">
        <v>16.5</v>
      </c>
      <c r="E24" s="27">
        <v>23</v>
      </c>
      <c r="F24" s="27">
        <v>7</v>
      </c>
    </row>
    <row r="25" spans="1:10" ht="21.95" customHeight="1" x14ac:dyDescent="0.3">
      <c r="A25" s="10" t="s">
        <v>22</v>
      </c>
      <c r="B25" s="6" t="s">
        <v>23</v>
      </c>
      <c r="C25" s="27">
        <f>C23/C24/12*1000</f>
        <v>112030.30303030301</v>
      </c>
      <c r="D25" s="27">
        <f>D23*1000/3/D24</f>
        <v>185333.33333333334</v>
      </c>
      <c r="E25" s="27">
        <f>E23*1000/3/E24</f>
        <v>218779.71014492755</v>
      </c>
      <c r="F25" s="27">
        <v>209528.6</v>
      </c>
    </row>
    <row r="26" spans="1:10" ht="25.5" x14ac:dyDescent="0.3">
      <c r="A26" s="7" t="s">
        <v>19</v>
      </c>
      <c r="B26" s="6" t="s">
        <v>2</v>
      </c>
      <c r="C26" s="42">
        <v>20770</v>
      </c>
      <c r="D26" s="42">
        <v>33730</v>
      </c>
      <c r="E26" s="42">
        <f>8942.2+F26</f>
        <v>30845.100000000002</v>
      </c>
      <c r="F26" s="42">
        <v>21902.9</v>
      </c>
    </row>
    <row r="27" spans="1:10" x14ac:dyDescent="0.3">
      <c r="A27" s="10" t="s">
        <v>4</v>
      </c>
      <c r="B27" s="11" t="s">
        <v>3</v>
      </c>
      <c r="C27" s="107">
        <v>35</v>
      </c>
      <c r="D27" s="89">
        <v>35</v>
      </c>
      <c r="E27" s="27">
        <v>33</v>
      </c>
      <c r="F27" s="27">
        <v>60</v>
      </c>
    </row>
    <row r="28" spans="1:10" ht="21.95" customHeight="1" x14ac:dyDescent="0.3">
      <c r="A28" s="10" t="s">
        <v>22</v>
      </c>
      <c r="B28" s="6" t="s">
        <v>23</v>
      </c>
      <c r="C28" s="89">
        <f>C26/C27/12*1000</f>
        <v>49452.380952380954</v>
      </c>
      <c r="D28" s="89">
        <f>D26*1000/3/D27</f>
        <v>321238.09523809527</v>
      </c>
      <c r="E28" s="27">
        <f>E26*1000/3/E27</f>
        <v>311566.66666666674</v>
      </c>
      <c r="F28" s="27">
        <v>60841.4</v>
      </c>
    </row>
    <row r="29" spans="1:10" ht="25.5" x14ac:dyDescent="0.3">
      <c r="A29" s="5" t="s">
        <v>5</v>
      </c>
      <c r="B29" s="6" t="s">
        <v>2</v>
      </c>
      <c r="C29" s="89">
        <v>32775</v>
      </c>
      <c r="D29" s="89">
        <f>C29/12*3</f>
        <v>8193.75</v>
      </c>
      <c r="E29" s="89">
        <f>8304.6+F29</f>
        <v>18189.599999999999</v>
      </c>
      <c r="F29" s="89">
        <v>9885</v>
      </c>
      <c r="G29" s="43"/>
      <c r="H29" s="43"/>
      <c r="I29" s="47"/>
      <c r="J29" s="47"/>
    </row>
    <row r="30" spans="1:10" ht="36.75" x14ac:dyDescent="0.3">
      <c r="A30" s="12" t="s">
        <v>6</v>
      </c>
      <c r="B30" s="6" t="s">
        <v>2</v>
      </c>
      <c r="C30" s="27">
        <v>13582</v>
      </c>
      <c r="D30" s="89">
        <f>C30/12*3</f>
        <v>3395.5</v>
      </c>
      <c r="E30" s="88">
        <f>7142+F30</f>
        <v>17723.599999999999</v>
      </c>
      <c r="F30" s="88">
        <v>10581.6</v>
      </c>
      <c r="G30" s="43"/>
      <c r="H30" s="43"/>
      <c r="I30" s="47"/>
      <c r="J30" s="47"/>
    </row>
    <row r="31" spans="1:10" ht="25.5" x14ac:dyDescent="0.3">
      <c r="A31" s="12" t="s">
        <v>7</v>
      </c>
      <c r="B31" s="6" t="s">
        <v>2</v>
      </c>
      <c r="C31" s="27">
        <v>2500</v>
      </c>
      <c r="D31" s="89">
        <f>C31/12*3</f>
        <v>625</v>
      </c>
      <c r="E31" s="88">
        <v>0</v>
      </c>
      <c r="F31" s="88">
        <v>0</v>
      </c>
      <c r="G31" s="43"/>
      <c r="H31" s="43"/>
      <c r="I31" s="47"/>
      <c r="J31" s="47"/>
    </row>
    <row r="32" spans="1:10" ht="36.75" x14ac:dyDescent="0.3">
      <c r="A32" s="12" t="s">
        <v>8</v>
      </c>
      <c r="B32" s="6" t="s">
        <v>2</v>
      </c>
      <c r="C32" s="27">
        <v>16670</v>
      </c>
      <c r="D32" s="89">
        <f>C32/12*3</f>
        <v>4167.5</v>
      </c>
      <c r="E32" s="88">
        <f>9541.9+F32</f>
        <v>14379.8</v>
      </c>
      <c r="F32" s="88">
        <v>4837.8999999999996</v>
      </c>
      <c r="G32" s="72"/>
      <c r="H32" s="72"/>
      <c r="I32" s="56"/>
      <c r="J32" s="56"/>
    </row>
    <row r="33" spans="1:6" ht="60" customHeight="1" x14ac:dyDescent="0.3">
      <c r="A33" s="12" t="s">
        <v>9</v>
      </c>
      <c r="B33" s="6" t="s">
        <v>2</v>
      </c>
      <c r="C33" s="27">
        <v>17267</v>
      </c>
      <c r="D33" s="89">
        <f>C33/12*3</f>
        <v>4316.75</v>
      </c>
      <c r="E33" s="88">
        <f>1262.4+F33</f>
        <v>1515.9</v>
      </c>
      <c r="F33" s="88">
        <v>253.5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3"/>
  <sheetViews>
    <sheetView zoomScale="70" zoomScaleNormal="70" workbookViewId="0">
      <selection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31" customWidth="1"/>
    <col min="5" max="6" width="12.85546875" style="31" customWidth="1"/>
    <col min="7" max="7" width="10.28515625" style="29" customWidth="1"/>
    <col min="8" max="8" width="12" style="29" customWidth="1"/>
    <col min="9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53"/>
    </row>
    <row r="2" spans="1:12" x14ac:dyDescent="0.3">
      <c r="A2" s="120" t="s">
        <v>90</v>
      </c>
      <c r="B2" s="120"/>
      <c r="C2" s="120"/>
      <c r="D2" s="120"/>
      <c r="E2" s="120"/>
      <c r="F2" s="53"/>
    </row>
    <row r="3" spans="1:12" x14ac:dyDescent="0.3">
      <c r="A3" s="1"/>
    </row>
    <row r="4" spans="1:12" ht="36.75" customHeight="1" x14ac:dyDescent="0.3">
      <c r="A4" s="132" t="s">
        <v>42</v>
      </c>
      <c r="B4" s="132"/>
      <c r="C4" s="132"/>
      <c r="D4" s="132"/>
      <c r="E4" s="132"/>
      <c r="F4" s="58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  <c r="L7" s="29"/>
    </row>
    <row r="8" spans="1:12" x14ac:dyDescent="0.3">
      <c r="A8" s="1"/>
    </row>
    <row r="9" spans="1:12" x14ac:dyDescent="0.3">
      <c r="A9" s="122" t="s">
        <v>24</v>
      </c>
      <c r="B9" s="123" t="s">
        <v>15</v>
      </c>
      <c r="C9" s="124" t="s">
        <v>35</v>
      </c>
      <c r="D9" s="124"/>
      <c r="E9" s="124"/>
      <c r="F9" s="108" t="s">
        <v>95</v>
      </c>
    </row>
    <row r="10" spans="1:12" ht="40.5" x14ac:dyDescent="0.3">
      <c r="A10" s="122"/>
      <c r="B10" s="123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34" t="s">
        <v>10</v>
      </c>
      <c r="C11" s="42">
        <v>9</v>
      </c>
      <c r="D11" s="42">
        <v>9</v>
      </c>
      <c r="E11" s="42">
        <v>9</v>
      </c>
      <c r="F11" s="42">
        <v>9</v>
      </c>
    </row>
    <row r="12" spans="1:12" ht="25.5" x14ac:dyDescent="0.3">
      <c r="A12" s="10" t="s">
        <v>20</v>
      </c>
      <c r="B12" s="34" t="s">
        <v>2</v>
      </c>
      <c r="C12" s="27">
        <f>(C13-C32)/C11</f>
        <v>1726.8888888888889</v>
      </c>
      <c r="D12" s="27">
        <f t="shared" ref="D12" si="0">(D13-D32)/D11</f>
        <v>431.72222222222223</v>
      </c>
      <c r="E12" s="27">
        <f>(E13-E32)/E11</f>
        <v>1179.8333333333335</v>
      </c>
      <c r="F12" s="27"/>
      <c r="H12" s="29" t="s">
        <v>27</v>
      </c>
    </row>
    <row r="13" spans="1:12" ht="25.5" x14ac:dyDescent="0.3">
      <c r="A13" s="5" t="s">
        <v>88</v>
      </c>
      <c r="B13" s="34" t="s">
        <v>2</v>
      </c>
      <c r="C13" s="69">
        <f>C15+C29+C30+C31+C32+C33</f>
        <v>15542</v>
      </c>
      <c r="D13" s="69">
        <f>D15+D29+D30+D31+D32+D33</f>
        <v>3885.5</v>
      </c>
      <c r="E13" s="69">
        <f>E15+E29+E30+E31+E32+E33</f>
        <v>10618.500000000002</v>
      </c>
      <c r="F13" s="69">
        <f>F15+F29+F30+F31+F32+F33</f>
        <v>4505.9000000000005</v>
      </c>
      <c r="G13" s="39"/>
      <c r="H13" s="38"/>
    </row>
    <row r="14" spans="1:12" x14ac:dyDescent="0.3">
      <c r="A14" s="8" t="s">
        <v>0</v>
      </c>
      <c r="B14" s="35"/>
      <c r="C14" s="27">
        <v>0</v>
      </c>
      <c r="D14" s="27">
        <f t="shared" ref="D14" si="1">C14</f>
        <v>0</v>
      </c>
      <c r="E14" s="27">
        <v>0</v>
      </c>
      <c r="F14" s="27"/>
      <c r="G14" s="38"/>
      <c r="H14" s="111"/>
    </row>
    <row r="15" spans="1:12" ht="25.5" x14ac:dyDescent="0.3">
      <c r="A15" s="5" t="s">
        <v>72</v>
      </c>
      <c r="B15" s="34" t="s">
        <v>2</v>
      </c>
      <c r="C15" s="69">
        <f>C17+C20+C23+C26</f>
        <v>11484</v>
      </c>
      <c r="D15" s="69">
        <f t="shared" ref="D15" si="2">D17+D20+D23+D26</f>
        <v>2871</v>
      </c>
      <c r="E15" s="69">
        <f>E17+E20+E23+E26</f>
        <v>8952.3000000000011</v>
      </c>
      <c r="F15" s="69">
        <v>3906.3</v>
      </c>
      <c r="G15" s="112"/>
      <c r="H15" s="112"/>
    </row>
    <row r="16" spans="1:12" x14ac:dyDescent="0.3">
      <c r="A16" s="8" t="s">
        <v>1</v>
      </c>
      <c r="B16" s="35"/>
      <c r="C16" s="26"/>
      <c r="D16" s="26"/>
      <c r="E16" s="26"/>
      <c r="F16" s="26"/>
      <c r="G16" s="38"/>
      <c r="H16" s="38"/>
    </row>
    <row r="17" spans="1:13" s="18" customFormat="1" ht="25.5" x14ac:dyDescent="0.3">
      <c r="A17" s="20" t="s">
        <v>25</v>
      </c>
      <c r="B17" s="34" t="s">
        <v>2</v>
      </c>
      <c r="C17" s="46">
        <v>2614</v>
      </c>
      <c r="D17" s="46">
        <f>C17/12*3</f>
        <v>653.5</v>
      </c>
      <c r="E17" s="46">
        <f>653.5+F17</f>
        <v>1586.8</v>
      </c>
      <c r="F17" s="46">
        <v>933.3</v>
      </c>
      <c r="G17" s="29"/>
      <c r="H17" s="29"/>
    </row>
    <row r="18" spans="1:13" s="18" customFormat="1" x14ac:dyDescent="0.3">
      <c r="A18" s="21" t="s">
        <v>4</v>
      </c>
      <c r="B18" s="36" t="s">
        <v>3</v>
      </c>
      <c r="C18" s="26">
        <v>1</v>
      </c>
      <c r="D18" s="26">
        <v>1</v>
      </c>
      <c r="E18" s="26">
        <v>1</v>
      </c>
      <c r="F18" s="26">
        <v>1</v>
      </c>
      <c r="G18" s="29"/>
      <c r="H18" s="29"/>
    </row>
    <row r="19" spans="1:13" s="18" customFormat="1" ht="21.95" customHeight="1" x14ac:dyDescent="0.3">
      <c r="A19" s="21" t="s">
        <v>22</v>
      </c>
      <c r="B19" s="34" t="s">
        <v>23</v>
      </c>
      <c r="C19" s="26"/>
      <c r="D19" s="26"/>
      <c r="E19" s="26">
        <f>F19</f>
        <v>853.3</v>
      </c>
      <c r="F19" s="26">
        <v>853.3</v>
      </c>
      <c r="G19" s="29"/>
      <c r="H19" s="29"/>
    </row>
    <row r="20" spans="1:13" s="18" customFormat="1" ht="25.5" x14ac:dyDescent="0.3">
      <c r="A20" s="20" t="s">
        <v>26</v>
      </c>
      <c r="B20" s="34" t="s">
        <v>2</v>
      </c>
      <c r="C20" s="46">
        <v>4287</v>
      </c>
      <c r="D20" s="46">
        <f>C20/12*3</f>
        <v>1071.75</v>
      </c>
      <c r="E20" s="46">
        <f>3298.8+F20</f>
        <v>4408.7000000000007</v>
      </c>
      <c r="F20" s="46">
        <v>1109.9000000000001</v>
      </c>
      <c r="G20" s="29"/>
      <c r="H20" s="29"/>
    </row>
    <row r="21" spans="1:13" s="18" customFormat="1" x14ac:dyDescent="0.3">
      <c r="A21" s="21" t="s">
        <v>4</v>
      </c>
      <c r="B21" s="36" t="s">
        <v>3</v>
      </c>
      <c r="C21" s="20">
        <v>3</v>
      </c>
      <c r="D21" s="20">
        <v>3</v>
      </c>
      <c r="E21" s="26">
        <v>2</v>
      </c>
      <c r="F21" s="26">
        <v>3</v>
      </c>
      <c r="G21" s="29"/>
      <c r="H21" s="29"/>
    </row>
    <row r="22" spans="1:13" s="18" customFormat="1" ht="21.95" customHeight="1" x14ac:dyDescent="0.3">
      <c r="A22" s="21" t="s">
        <v>22</v>
      </c>
      <c r="B22" s="34" t="s">
        <v>23</v>
      </c>
      <c r="C22" s="27">
        <f>C20/C21/12*1000</f>
        <v>119083.33333333333</v>
      </c>
      <c r="D22" s="27">
        <f>D20*1000/9/D21</f>
        <v>39694.444444444445</v>
      </c>
      <c r="E22" s="27">
        <v>195150</v>
      </c>
      <c r="F22" s="27">
        <v>123322.2</v>
      </c>
      <c r="G22" s="29"/>
      <c r="H22" s="29"/>
    </row>
    <row r="23" spans="1:13" s="18" customFormat="1" ht="39" x14ac:dyDescent="0.3">
      <c r="A23" s="23" t="s">
        <v>21</v>
      </c>
      <c r="B23" s="34" t="s">
        <v>2</v>
      </c>
      <c r="C23" s="46">
        <v>0</v>
      </c>
      <c r="D23" s="46">
        <v>0</v>
      </c>
      <c r="E23" s="46">
        <v>0</v>
      </c>
      <c r="F23" s="46">
        <v>0</v>
      </c>
      <c r="G23" s="29"/>
      <c r="H23" s="29"/>
    </row>
    <row r="24" spans="1:13" s="18" customFormat="1" x14ac:dyDescent="0.3">
      <c r="A24" s="21" t="s">
        <v>4</v>
      </c>
      <c r="B24" s="36" t="s">
        <v>3</v>
      </c>
      <c r="C24" s="20">
        <v>1</v>
      </c>
      <c r="D24" s="20">
        <v>1</v>
      </c>
      <c r="E24" s="26">
        <v>1</v>
      </c>
      <c r="F24" s="26">
        <v>1</v>
      </c>
      <c r="G24" s="29"/>
      <c r="H24" s="29"/>
    </row>
    <row r="25" spans="1:13" s="18" customFormat="1" ht="21.95" customHeight="1" x14ac:dyDescent="0.3">
      <c r="A25" s="21" t="s">
        <v>22</v>
      </c>
      <c r="B25" s="34" t="s">
        <v>23</v>
      </c>
      <c r="C25" s="27">
        <f>C23/C24/12*1000</f>
        <v>0</v>
      </c>
      <c r="D25" s="27">
        <f>D23*1000/9/D24</f>
        <v>0</v>
      </c>
      <c r="E25" s="27">
        <f>E23*1000/9/E24</f>
        <v>0</v>
      </c>
      <c r="F25" s="27"/>
      <c r="G25" s="29"/>
      <c r="H25" s="29"/>
    </row>
    <row r="26" spans="1:13" ht="25.5" x14ac:dyDescent="0.3">
      <c r="A26" s="7" t="s">
        <v>19</v>
      </c>
      <c r="B26" s="34" t="s">
        <v>2</v>
      </c>
      <c r="C26" s="46">
        <v>4583</v>
      </c>
      <c r="D26" s="46">
        <f>C26/12*3</f>
        <v>1145.75</v>
      </c>
      <c r="E26" s="46">
        <f>1145.7+F26</f>
        <v>2956.8</v>
      </c>
      <c r="F26" s="46">
        <v>1811.1</v>
      </c>
    </row>
    <row r="27" spans="1:13" x14ac:dyDescent="0.3">
      <c r="A27" s="10" t="s">
        <v>4</v>
      </c>
      <c r="B27" s="36" t="s">
        <v>3</v>
      </c>
      <c r="C27" s="20">
        <v>6</v>
      </c>
      <c r="D27" s="20">
        <v>6</v>
      </c>
      <c r="E27" s="26">
        <v>6</v>
      </c>
      <c r="F27" s="26">
        <v>6</v>
      </c>
    </row>
    <row r="28" spans="1:13" ht="21.95" customHeight="1" x14ac:dyDescent="0.3">
      <c r="A28" s="10" t="s">
        <v>22</v>
      </c>
      <c r="B28" s="34" t="s">
        <v>23</v>
      </c>
      <c r="C28" s="27">
        <f>C26/C27/12*1000</f>
        <v>63652.777777777781</v>
      </c>
      <c r="D28" s="27">
        <f>D26*1000/9/D27</f>
        <v>21217.592592592595</v>
      </c>
      <c r="E28" s="27">
        <f>E26*1000/3/E27</f>
        <v>164266.66666666666</v>
      </c>
      <c r="F28" s="27">
        <v>100616.7</v>
      </c>
    </row>
    <row r="29" spans="1:13" ht="25.5" x14ac:dyDescent="0.3">
      <c r="A29" s="5" t="s">
        <v>5</v>
      </c>
      <c r="B29" s="34" t="s">
        <v>2</v>
      </c>
      <c r="C29" s="89">
        <v>1358</v>
      </c>
      <c r="D29" s="20">
        <f>C29/12*3</f>
        <v>339.5</v>
      </c>
      <c r="E29" s="89">
        <f>302+F29</f>
        <v>708.1</v>
      </c>
      <c r="F29" s="89">
        <v>406.1</v>
      </c>
      <c r="G29" s="43"/>
      <c r="H29" s="43"/>
      <c r="I29" s="43"/>
      <c r="J29" s="47"/>
      <c r="K29" s="47"/>
      <c r="L29" s="47"/>
      <c r="M29" s="47"/>
    </row>
    <row r="30" spans="1:13" ht="36.75" x14ac:dyDescent="0.3">
      <c r="A30" s="12" t="s">
        <v>6</v>
      </c>
      <c r="B30" s="34" t="s">
        <v>2</v>
      </c>
      <c r="C30" s="89">
        <v>2280</v>
      </c>
      <c r="D30" s="20">
        <f>C30/12*3</f>
        <v>570</v>
      </c>
      <c r="E30" s="89">
        <f>576+F30+F30</f>
        <v>953.2</v>
      </c>
      <c r="F30" s="89">
        <v>188.6</v>
      </c>
      <c r="G30" s="50"/>
      <c r="H30" s="50"/>
      <c r="I30" s="51"/>
      <c r="J30" s="47"/>
      <c r="K30" s="47"/>
      <c r="L30" s="47"/>
      <c r="M30" s="47"/>
    </row>
    <row r="31" spans="1:13" ht="25.5" x14ac:dyDescent="0.3">
      <c r="A31" s="12" t="s">
        <v>7</v>
      </c>
      <c r="B31" s="34" t="s">
        <v>2</v>
      </c>
      <c r="C31" s="89">
        <v>20</v>
      </c>
      <c r="D31" s="20">
        <f>C31/12*3</f>
        <v>5</v>
      </c>
      <c r="E31" s="89">
        <v>0</v>
      </c>
      <c r="F31" s="89">
        <v>0</v>
      </c>
      <c r="G31" s="62"/>
      <c r="H31" s="62"/>
      <c r="I31" s="63"/>
      <c r="K31" s="47"/>
    </row>
    <row r="32" spans="1:13" ht="36.75" x14ac:dyDescent="0.3">
      <c r="A32" s="12" t="s">
        <v>8</v>
      </c>
      <c r="B32" s="34" t="s">
        <v>2</v>
      </c>
      <c r="C32" s="89">
        <v>0</v>
      </c>
      <c r="D32" s="20">
        <f>C32/12*3</f>
        <v>0</v>
      </c>
      <c r="E32" s="89">
        <v>0</v>
      </c>
      <c r="F32" s="89">
        <v>0</v>
      </c>
      <c r="G32" s="72"/>
      <c r="H32" s="72"/>
      <c r="K32" s="47"/>
    </row>
    <row r="33" spans="1:6" ht="52.5" customHeight="1" x14ac:dyDescent="0.3">
      <c r="A33" s="12" t="s">
        <v>9</v>
      </c>
      <c r="B33" s="34" t="s">
        <v>2</v>
      </c>
      <c r="C33" s="89">
        <v>400</v>
      </c>
      <c r="D33" s="20">
        <f>C33/12*3</f>
        <v>100</v>
      </c>
      <c r="E33" s="89">
        <v>4.9000000000000004</v>
      </c>
      <c r="F33" s="89">
        <v>4.9000000000000004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70" zoomScaleNormal="70" workbookViewId="0">
      <selection activeCell="H33" sqref="H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140625" style="31" customWidth="1"/>
    <col min="4" max="4" width="12" style="31" customWidth="1"/>
    <col min="5" max="6" width="13.28515625" style="31" customWidth="1"/>
    <col min="7" max="7" width="13.28515625" style="29" customWidth="1"/>
    <col min="8" max="8" width="12" style="29" customWidth="1"/>
    <col min="9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60"/>
    </row>
    <row r="2" spans="1:12" x14ac:dyDescent="0.3">
      <c r="A2" s="120" t="s">
        <v>90</v>
      </c>
      <c r="B2" s="120"/>
      <c r="C2" s="120"/>
      <c r="D2" s="120"/>
      <c r="E2" s="120"/>
      <c r="F2" s="60"/>
    </row>
    <row r="3" spans="1:12" x14ac:dyDescent="0.3">
      <c r="A3" s="1"/>
    </row>
    <row r="4" spans="1:12" ht="40.5" customHeight="1" x14ac:dyDescent="0.3">
      <c r="A4" s="132" t="s">
        <v>43</v>
      </c>
      <c r="B4" s="132"/>
      <c r="C4" s="132"/>
      <c r="D4" s="132"/>
      <c r="E4" s="132"/>
      <c r="F4" s="58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  <c r="L7" s="29"/>
    </row>
    <row r="8" spans="1:12" x14ac:dyDescent="0.3">
      <c r="A8" s="1"/>
    </row>
    <row r="9" spans="1:12" x14ac:dyDescent="0.3">
      <c r="A9" s="122" t="s">
        <v>24</v>
      </c>
      <c r="B9" s="130" t="s">
        <v>15</v>
      </c>
      <c r="C9" s="124" t="s">
        <v>35</v>
      </c>
      <c r="D9" s="124"/>
      <c r="E9" s="124"/>
      <c r="F9" s="108" t="s">
        <v>99</v>
      </c>
    </row>
    <row r="10" spans="1:12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6" t="s">
        <v>10</v>
      </c>
      <c r="C11" s="42">
        <v>134</v>
      </c>
      <c r="D11" s="42">
        <v>134</v>
      </c>
      <c r="E11" s="42">
        <v>134</v>
      </c>
      <c r="F11" s="42">
        <v>134</v>
      </c>
    </row>
    <row r="12" spans="1:12" ht="25.5" x14ac:dyDescent="0.3">
      <c r="A12" s="10" t="s">
        <v>20</v>
      </c>
      <c r="B12" s="6" t="s">
        <v>2</v>
      </c>
      <c r="C12" s="27">
        <f>(C13-C32)/C11</f>
        <v>775.91044776119406</v>
      </c>
      <c r="D12" s="27">
        <f t="shared" ref="D12:E12" si="0">(D13-D32)/D11</f>
        <v>733.1455223880597</v>
      </c>
      <c r="E12" s="27">
        <f t="shared" si="0"/>
        <v>621.7492537313434</v>
      </c>
      <c r="F12" s="27"/>
      <c r="H12" s="29" t="s">
        <v>27</v>
      </c>
    </row>
    <row r="13" spans="1:12" ht="25.5" x14ac:dyDescent="0.3">
      <c r="A13" s="5" t="s">
        <v>74</v>
      </c>
      <c r="B13" s="6" t="s">
        <v>2</v>
      </c>
      <c r="C13" s="69">
        <f>C15+C29+C30+C31+C32+C33</f>
        <v>105842</v>
      </c>
      <c r="D13" s="69">
        <f>D15+D29+D30+D31+D32+D33</f>
        <v>99568.5</v>
      </c>
      <c r="E13" s="69">
        <f>E15+E29+E30+E31+E32+E33</f>
        <v>83314.400000000009</v>
      </c>
      <c r="F13" s="69">
        <f>F15+F29+F30</f>
        <v>37039.700000000004</v>
      </c>
    </row>
    <row r="14" spans="1:12" x14ac:dyDescent="0.3">
      <c r="A14" s="8" t="s">
        <v>0</v>
      </c>
      <c r="B14" s="9"/>
      <c r="C14" s="27">
        <v>0</v>
      </c>
      <c r="D14" s="27">
        <f t="shared" ref="D14" si="1">C14</f>
        <v>0</v>
      </c>
      <c r="E14" s="27">
        <v>0</v>
      </c>
      <c r="F14" s="77"/>
      <c r="H14" s="31"/>
    </row>
    <row r="15" spans="1:12" ht="25.5" x14ac:dyDescent="0.3">
      <c r="A15" s="5" t="s">
        <v>68</v>
      </c>
      <c r="B15" s="6" t="s">
        <v>2</v>
      </c>
      <c r="C15" s="69">
        <f>C17+C20+C23+C26</f>
        <v>76764</v>
      </c>
      <c r="D15" s="69">
        <f t="shared" ref="D15" si="2">D17+D20+D23+D26</f>
        <v>82554.5</v>
      </c>
      <c r="E15" s="76">
        <f>31438.8+F15</f>
        <v>63134.2</v>
      </c>
      <c r="F15" s="69">
        <v>31695.4</v>
      </c>
      <c r="H15" s="112"/>
    </row>
    <row r="16" spans="1:12" x14ac:dyDescent="0.3">
      <c r="A16" s="8" t="s">
        <v>1</v>
      </c>
      <c r="B16" s="9"/>
      <c r="C16" s="26"/>
      <c r="D16" s="26"/>
      <c r="E16" s="26"/>
      <c r="F16" s="78"/>
    </row>
    <row r="17" spans="1:12" s="18" customFormat="1" ht="25.5" x14ac:dyDescent="0.3">
      <c r="A17" s="20" t="s">
        <v>25</v>
      </c>
      <c r="B17" s="17" t="s">
        <v>2</v>
      </c>
      <c r="C17" s="46">
        <v>7349</v>
      </c>
      <c r="D17" s="46">
        <v>6741.5</v>
      </c>
      <c r="E17" s="46">
        <f>1837.2+F17</f>
        <v>3910.7</v>
      </c>
      <c r="F17" s="46">
        <v>2073.5</v>
      </c>
      <c r="G17" s="29"/>
      <c r="H17" s="29"/>
    </row>
    <row r="18" spans="1:12" s="18" customFormat="1" x14ac:dyDescent="0.3">
      <c r="A18" s="21" t="s">
        <v>4</v>
      </c>
      <c r="B18" s="22" t="s">
        <v>3</v>
      </c>
      <c r="C18" s="20">
        <v>3</v>
      </c>
      <c r="D18" s="20">
        <v>3</v>
      </c>
      <c r="E18" s="26">
        <v>2</v>
      </c>
      <c r="F18" s="26">
        <v>2</v>
      </c>
      <c r="G18" s="29"/>
      <c r="H18" s="29"/>
    </row>
    <row r="19" spans="1:12" s="18" customFormat="1" ht="21.95" customHeight="1" x14ac:dyDescent="0.3">
      <c r="A19" s="21" t="s">
        <v>22</v>
      </c>
      <c r="B19" s="17" t="s">
        <v>23</v>
      </c>
      <c r="C19" s="27">
        <f>C17/C18/12*1000</f>
        <v>204138.88888888888</v>
      </c>
      <c r="D19" s="27">
        <f>D17*1000/3/D18</f>
        <v>749055.5555555555</v>
      </c>
      <c r="E19" s="27">
        <f>E17*1000/3/E18</f>
        <v>651783.33333333337</v>
      </c>
      <c r="F19" s="27">
        <v>345583.3</v>
      </c>
      <c r="G19" s="29"/>
      <c r="H19" s="29"/>
    </row>
    <row r="20" spans="1:12" s="18" customFormat="1" ht="25.5" x14ac:dyDescent="0.3">
      <c r="A20" s="20" t="s">
        <v>26</v>
      </c>
      <c r="B20" s="17" t="s">
        <v>2</v>
      </c>
      <c r="C20" s="46">
        <v>50395</v>
      </c>
      <c r="D20" s="46">
        <v>62715</v>
      </c>
      <c r="E20" s="46">
        <f>23045.7+F20</f>
        <v>45795.100000000006</v>
      </c>
      <c r="F20" s="46">
        <v>22749.4</v>
      </c>
      <c r="G20" s="29"/>
      <c r="H20" s="29"/>
    </row>
    <row r="21" spans="1:12" s="18" customFormat="1" x14ac:dyDescent="0.3">
      <c r="A21" s="21" t="s">
        <v>4</v>
      </c>
      <c r="B21" s="22" t="s">
        <v>3</v>
      </c>
      <c r="C21" s="20">
        <v>27</v>
      </c>
      <c r="D21" s="20">
        <v>27</v>
      </c>
      <c r="E21" s="26">
        <v>28</v>
      </c>
      <c r="F21" s="26">
        <v>30</v>
      </c>
      <c r="G21" s="29"/>
      <c r="H21" s="29"/>
    </row>
    <row r="22" spans="1:12" ht="21.95" customHeight="1" x14ac:dyDescent="0.3">
      <c r="A22" s="10" t="s">
        <v>22</v>
      </c>
      <c r="B22" s="6" t="s">
        <v>23</v>
      </c>
      <c r="C22" s="27">
        <f>C20/C21/12*1000</f>
        <v>155540.12345679014</v>
      </c>
      <c r="D22" s="27">
        <f>D20*1000/3/D21</f>
        <v>774259.25925925921</v>
      </c>
      <c r="E22" s="27">
        <f>E20*1000/3/E21</f>
        <v>545179.76190476201</v>
      </c>
      <c r="F22" s="27">
        <v>252771.1</v>
      </c>
    </row>
    <row r="23" spans="1:12" ht="39" x14ac:dyDescent="0.3">
      <c r="A23" s="14" t="s">
        <v>21</v>
      </c>
      <c r="B23" s="6" t="s">
        <v>2</v>
      </c>
      <c r="C23" s="46">
        <v>10060</v>
      </c>
      <c r="D23" s="46">
        <v>4967</v>
      </c>
      <c r="E23" s="46">
        <f>3267.7+F23</f>
        <v>6265.1</v>
      </c>
      <c r="F23" s="46">
        <v>2997.4</v>
      </c>
    </row>
    <row r="24" spans="1:12" x14ac:dyDescent="0.3">
      <c r="A24" s="10" t="s">
        <v>4</v>
      </c>
      <c r="B24" s="11" t="s">
        <v>3</v>
      </c>
      <c r="C24" s="20">
        <v>9</v>
      </c>
      <c r="D24" s="20">
        <v>9</v>
      </c>
      <c r="E24" s="26">
        <v>7</v>
      </c>
      <c r="F24" s="26">
        <v>6</v>
      </c>
    </row>
    <row r="25" spans="1:12" ht="21.95" customHeight="1" x14ac:dyDescent="0.3">
      <c r="A25" s="10" t="s">
        <v>22</v>
      </c>
      <c r="B25" s="6" t="s">
        <v>23</v>
      </c>
      <c r="C25" s="27">
        <f>C23/C24/12*1000</f>
        <v>93148.148148148146</v>
      </c>
      <c r="D25" s="27">
        <f>D23*1000/10/D24</f>
        <v>55188.888888888891</v>
      </c>
      <c r="E25" s="27">
        <f>E23*1000/3/E24</f>
        <v>298338.09523809527</v>
      </c>
      <c r="F25" s="27">
        <v>166522.20000000001</v>
      </c>
    </row>
    <row r="26" spans="1:12" ht="25.5" x14ac:dyDescent="0.3">
      <c r="A26" s="7" t="s">
        <v>19</v>
      </c>
      <c r="B26" s="6" t="s">
        <v>2</v>
      </c>
      <c r="C26" s="46">
        <v>8960</v>
      </c>
      <c r="D26" s="46">
        <v>8131</v>
      </c>
      <c r="E26" s="46">
        <f>3288.2+F26</f>
        <v>7163.2999999999993</v>
      </c>
      <c r="F26" s="46">
        <v>3875.1</v>
      </c>
    </row>
    <row r="27" spans="1:12" x14ac:dyDescent="0.3">
      <c r="A27" s="10" t="s">
        <v>4</v>
      </c>
      <c r="B27" s="11" t="s">
        <v>3</v>
      </c>
      <c r="C27" s="20">
        <v>14.5</v>
      </c>
      <c r="D27" s="20">
        <v>14.5</v>
      </c>
      <c r="E27" s="26">
        <v>19</v>
      </c>
      <c r="F27" s="26">
        <v>14</v>
      </c>
    </row>
    <row r="28" spans="1:12" ht="21.95" customHeight="1" x14ac:dyDescent="0.3">
      <c r="A28" s="10" t="s">
        <v>22</v>
      </c>
      <c r="B28" s="6" t="s">
        <v>23</v>
      </c>
      <c r="C28" s="27">
        <f>C26/C27/12*1000</f>
        <v>51494.252873563222</v>
      </c>
      <c r="D28" s="27">
        <f>D26*1000/10/D27</f>
        <v>56075.862068965514</v>
      </c>
      <c r="E28" s="27">
        <f>E26*1000/3/E27</f>
        <v>125671.92982456139</v>
      </c>
      <c r="F28" s="27">
        <v>92264.3</v>
      </c>
      <c r="G28" s="43"/>
      <c r="H28" s="43"/>
      <c r="I28" s="43"/>
      <c r="J28" s="47"/>
      <c r="K28" s="47"/>
      <c r="L28" s="47"/>
    </row>
    <row r="29" spans="1:12" ht="25.5" x14ac:dyDescent="0.3">
      <c r="A29" s="5" t="s">
        <v>5</v>
      </c>
      <c r="B29" s="6" t="s">
        <v>2</v>
      </c>
      <c r="C29" s="89">
        <v>10020</v>
      </c>
      <c r="D29" s="89">
        <v>7873</v>
      </c>
      <c r="E29" s="89">
        <f>3242.7+F29</f>
        <v>6481</v>
      </c>
      <c r="F29" s="89">
        <v>3238.3</v>
      </c>
      <c r="G29" s="43"/>
      <c r="H29" s="43"/>
      <c r="I29" s="43"/>
      <c r="J29" s="47"/>
      <c r="K29" s="47"/>
      <c r="L29" s="47"/>
    </row>
    <row r="30" spans="1:12" ht="36.75" x14ac:dyDescent="0.3">
      <c r="A30" s="12" t="s">
        <v>6</v>
      </c>
      <c r="B30" s="6" t="s">
        <v>2</v>
      </c>
      <c r="C30" s="27">
        <v>9200</v>
      </c>
      <c r="D30" s="89">
        <v>5817</v>
      </c>
      <c r="E30" s="89">
        <f>6864.1+F30</f>
        <v>8970.1</v>
      </c>
      <c r="F30" s="89">
        <v>2106</v>
      </c>
      <c r="G30" s="74"/>
      <c r="H30" s="74"/>
      <c r="I30" s="75"/>
      <c r="J30" s="75"/>
      <c r="K30" s="75"/>
      <c r="L30" s="75"/>
    </row>
    <row r="31" spans="1:12" ht="25.5" x14ac:dyDescent="0.3">
      <c r="A31" s="12" t="s">
        <v>7</v>
      </c>
      <c r="B31" s="6" t="s">
        <v>2</v>
      </c>
      <c r="C31" s="27">
        <v>150</v>
      </c>
      <c r="D31" s="89">
        <f>C31/12*3</f>
        <v>37.5</v>
      </c>
      <c r="E31" s="89">
        <v>0</v>
      </c>
      <c r="F31" s="89">
        <v>0</v>
      </c>
      <c r="G31" s="74"/>
      <c r="H31" s="74"/>
      <c r="I31" s="75"/>
      <c r="J31" s="75"/>
      <c r="K31" s="75"/>
      <c r="L31" s="75"/>
    </row>
    <row r="32" spans="1:12" ht="36.75" x14ac:dyDescent="0.3">
      <c r="A32" s="12" t="s">
        <v>8</v>
      </c>
      <c r="B32" s="6" t="s">
        <v>2</v>
      </c>
      <c r="C32" s="27">
        <v>1870</v>
      </c>
      <c r="D32" s="89">
        <v>1327</v>
      </c>
      <c r="E32" s="89">
        <v>0</v>
      </c>
      <c r="F32" s="89">
        <v>0</v>
      </c>
      <c r="G32" s="74"/>
      <c r="H32" s="74"/>
      <c r="I32" s="75"/>
      <c r="J32" s="75"/>
      <c r="K32" s="75"/>
      <c r="L32" s="75"/>
    </row>
    <row r="33" spans="1:6" ht="52.5" customHeight="1" x14ac:dyDescent="0.3">
      <c r="A33" s="12" t="s">
        <v>9</v>
      </c>
      <c r="B33" s="6" t="s">
        <v>2</v>
      </c>
      <c r="C33" s="27">
        <v>7838</v>
      </c>
      <c r="D33" s="89">
        <f>C33/12*3</f>
        <v>1959.5</v>
      </c>
      <c r="E33" s="89">
        <f>3436.1+F33</f>
        <v>4729.1000000000004</v>
      </c>
      <c r="F33" s="89">
        <v>1293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60" zoomScaleNormal="60" workbookViewId="0">
      <selection activeCell="I14" sqref="I1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5703125" style="31" customWidth="1"/>
    <col min="4" max="4" width="12" style="31" customWidth="1"/>
    <col min="5" max="6" width="14.7109375" style="37" customWidth="1"/>
    <col min="7" max="7" width="11.85546875" style="29" customWidth="1"/>
    <col min="8" max="8" width="12" style="2" customWidth="1"/>
    <col min="9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60"/>
    </row>
    <row r="2" spans="1:12" x14ac:dyDescent="0.3">
      <c r="A2" s="120" t="s">
        <v>90</v>
      </c>
      <c r="B2" s="120"/>
      <c r="C2" s="120"/>
      <c r="D2" s="120"/>
      <c r="E2" s="120"/>
      <c r="F2" s="60"/>
    </row>
    <row r="3" spans="1:12" x14ac:dyDescent="0.3">
      <c r="A3" s="1"/>
    </row>
    <row r="4" spans="1:12" ht="39.75" customHeight="1" x14ac:dyDescent="0.3">
      <c r="A4" s="132" t="s">
        <v>44</v>
      </c>
      <c r="B4" s="132"/>
      <c r="C4" s="132"/>
      <c r="D4" s="132"/>
      <c r="E4" s="132"/>
      <c r="F4" s="58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x14ac:dyDescent="0.3">
      <c r="A9" s="122" t="s">
        <v>24</v>
      </c>
      <c r="B9" s="130" t="s">
        <v>15</v>
      </c>
      <c r="C9" s="124" t="s">
        <v>35</v>
      </c>
      <c r="D9" s="124"/>
      <c r="E9" s="124"/>
      <c r="F9" s="108" t="s">
        <v>99</v>
      </c>
      <c r="L9" s="29"/>
    </row>
    <row r="10" spans="1:12" ht="40.5" x14ac:dyDescent="0.3">
      <c r="A10" s="122"/>
      <c r="B10" s="130"/>
      <c r="C10" s="116" t="s">
        <v>16</v>
      </c>
      <c r="D10" s="116" t="s">
        <v>17</v>
      </c>
      <c r="E10" s="117" t="s">
        <v>11</v>
      </c>
      <c r="F10" s="117"/>
    </row>
    <row r="11" spans="1:12" x14ac:dyDescent="0.3">
      <c r="A11" s="5" t="s">
        <v>18</v>
      </c>
      <c r="B11" s="6" t="s">
        <v>10</v>
      </c>
      <c r="C11" s="42">
        <v>10</v>
      </c>
      <c r="D11" s="42">
        <v>10</v>
      </c>
      <c r="E11" s="42">
        <v>10</v>
      </c>
      <c r="F11" s="42">
        <v>10</v>
      </c>
    </row>
    <row r="12" spans="1:12" ht="25.5" x14ac:dyDescent="0.3">
      <c r="A12" s="10" t="s">
        <v>20</v>
      </c>
      <c r="B12" s="6" t="s">
        <v>2</v>
      </c>
      <c r="C12" s="27">
        <f>(C13-C32)/C11</f>
        <v>2222</v>
      </c>
      <c r="D12" s="27">
        <f t="shared" ref="D12:E12" si="0">(D13-D32)/D11</f>
        <v>555.5</v>
      </c>
      <c r="E12" s="27">
        <f t="shared" si="0"/>
        <v>1126.97</v>
      </c>
      <c r="F12" s="27"/>
      <c r="G12" s="29" t="s">
        <v>27</v>
      </c>
    </row>
    <row r="13" spans="1:12" ht="25.5" x14ac:dyDescent="0.3">
      <c r="A13" s="5" t="s">
        <v>77</v>
      </c>
      <c r="B13" s="6" t="s">
        <v>2</v>
      </c>
      <c r="C13" s="69">
        <f>C15+C29+C30+C31+C32+C33</f>
        <v>22420</v>
      </c>
      <c r="D13" s="69">
        <f>D15+D29+D30+D31+D32+D33</f>
        <v>5605</v>
      </c>
      <c r="E13" s="69">
        <f>E15+E29+E30+E31+E32+E33</f>
        <v>11269.7</v>
      </c>
      <c r="F13" s="69">
        <f>F15+F29+F30+F31+F32+F33</f>
        <v>5413.2</v>
      </c>
    </row>
    <row r="14" spans="1:12" x14ac:dyDescent="0.3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31"/>
    </row>
    <row r="15" spans="1:12" ht="25.5" x14ac:dyDescent="0.3">
      <c r="A15" s="5" t="s">
        <v>68</v>
      </c>
      <c r="B15" s="6" t="s">
        <v>2</v>
      </c>
      <c r="C15" s="69">
        <f>C17+C20+C23+C26</f>
        <v>16704</v>
      </c>
      <c r="D15" s="69">
        <f>D17+D20+D23+D26</f>
        <v>4176</v>
      </c>
      <c r="E15" s="69">
        <f>E17+E20+E23+E26</f>
        <v>7407.5999999999995</v>
      </c>
      <c r="F15" s="69">
        <v>4747.3</v>
      </c>
      <c r="H15" s="71"/>
    </row>
    <row r="16" spans="1:12" x14ac:dyDescent="0.3">
      <c r="A16" s="8" t="s">
        <v>1</v>
      </c>
      <c r="B16" s="9"/>
      <c r="C16" s="26"/>
      <c r="D16" s="26"/>
      <c r="E16" s="26"/>
      <c r="F16" s="26"/>
      <c r="H16" s="29"/>
    </row>
    <row r="17" spans="1:12" s="18" customFormat="1" ht="25.5" x14ac:dyDescent="0.3">
      <c r="A17" s="20" t="s">
        <v>25</v>
      </c>
      <c r="B17" s="17" t="s">
        <v>2</v>
      </c>
      <c r="C17" s="26"/>
      <c r="D17" s="26"/>
      <c r="E17" s="26"/>
      <c r="F17" s="26">
        <v>1040</v>
      </c>
      <c r="G17" s="29"/>
      <c r="H17" s="29"/>
    </row>
    <row r="18" spans="1:12" s="18" customFormat="1" x14ac:dyDescent="0.3">
      <c r="A18" s="21" t="s">
        <v>4</v>
      </c>
      <c r="B18" s="22" t="s">
        <v>3</v>
      </c>
      <c r="C18" s="26"/>
      <c r="D18" s="26"/>
      <c r="E18" s="26"/>
      <c r="F18" s="26">
        <v>1</v>
      </c>
      <c r="G18" s="29"/>
      <c r="H18" s="29"/>
    </row>
    <row r="19" spans="1:12" s="18" customFormat="1" ht="21.95" customHeight="1" x14ac:dyDescent="0.3">
      <c r="A19" s="21" t="s">
        <v>22</v>
      </c>
      <c r="B19" s="17" t="s">
        <v>23</v>
      </c>
      <c r="C19" s="26"/>
      <c r="D19" s="26"/>
      <c r="E19" s="26"/>
      <c r="F19" s="26">
        <v>960</v>
      </c>
      <c r="G19" s="29"/>
      <c r="H19" s="29"/>
    </row>
    <row r="20" spans="1:12" s="18" customFormat="1" ht="25.5" x14ac:dyDescent="0.3">
      <c r="A20" s="20" t="s">
        <v>26</v>
      </c>
      <c r="B20" s="17" t="s">
        <v>2</v>
      </c>
      <c r="C20" s="46">
        <v>10104</v>
      </c>
      <c r="D20" s="46">
        <f>C20/12*3</f>
        <v>2526</v>
      </c>
      <c r="E20" s="46">
        <f>2314.7+F20</f>
        <v>3959.3999999999996</v>
      </c>
      <c r="F20" s="46">
        <v>1644.7</v>
      </c>
      <c r="G20" s="29"/>
      <c r="H20" s="29"/>
    </row>
    <row r="21" spans="1:12" x14ac:dyDescent="0.3">
      <c r="A21" s="10" t="s">
        <v>4</v>
      </c>
      <c r="B21" s="11" t="s">
        <v>3</v>
      </c>
      <c r="C21" s="20">
        <v>2.9</v>
      </c>
      <c r="D21" s="20">
        <v>2.9</v>
      </c>
      <c r="E21" s="26">
        <v>4</v>
      </c>
      <c r="F21" s="26">
        <v>3</v>
      </c>
      <c r="H21" s="29"/>
    </row>
    <row r="22" spans="1:12" ht="21.95" customHeight="1" x14ac:dyDescent="0.3">
      <c r="A22" s="10" t="s">
        <v>22</v>
      </c>
      <c r="B22" s="6" t="s">
        <v>23</v>
      </c>
      <c r="C22" s="27">
        <f>C20/C21/12*1000</f>
        <v>290344.8275862069</v>
      </c>
      <c r="D22" s="27">
        <f>D20*1000/9/D21</f>
        <v>96781.609195402314</v>
      </c>
      <c r="E22" s="27">
        <v>131091.70000000001</v>
      </c>
      <c r="F22" s="27">
        <v>182744.4</v>
      </c>
      <c r="H22" s="29"/>
    </row>
    <row r="23" spans="1:12" ht="39" x14ac:dyDescent="0.3">
      <c r="A23" s="14" t="s">
        <v>21</v>
      </c>
      <c r="B23" s="6" t="s">
        <v>2</v>
      </c>
      <c r="C23" s="46">
        <v>0</v>
      </c>
      <c r="D23" s="46">
        <v>0</v>
      </c>
      <c r="E23" s="46">
        <v>0</v>
      </c>
      <c r="F23" s="46">
        <v>0</v>
      </c>
      <c r="H23" s="29"/>
    </row>
    <row r="24" spans="1:12" x14ac:dyDescent="0.3">
      <c r="A24" s="10" t="s">
        <v>4</v>
      </c>
      <c r="B24" s="11" t="s">
        <v>3</v>
      </c>
      <c r="C24" s="20">
        <v>1</v>
      </c>
      <c r="D24" s="20">
        <v>1</v>
      </c>
      <c r="E24" s="26">
        <v>1</v>
      </c>
      <c r="F24" s="26"/>
      <c r="H24" s="29"/>
    </row>
    <row r="25" spans="1:12" ht="21.95" customHeight="1" x14ac:dyDescent="0.3">
      <c r="A25" s="10" t="s">
        <v>22</v>
      </c>
      <c r="B25" s="6" t="s">
        <v>23</v>
      </c>
      <c r="C25" s="27">
        <f>C23/C24/12*1000</f>
        <v>0</v>
      </c>
      <c r="D25" s="27">
        <f>D23*1000/3/D24</f>
        <v>0</v>
      </c>
      <c r="E25" s="27">
        <f>E23*1000/3/E24</f>
        <v>0</v>
      </c>
      <c r="F25" s="27"/>
      <c r="H25" s="29"/>
    </row>
    <row r="26" spans="1:12" ht="25.5" x14ac:dyDescent="0.3">
      <c r="A26" s="7" t="s">
        <v>19</v>
      </c>
      <c r="B26" s="6" t="s">
        <v>2</v>
      </c>
      <c r="C26" s="46">
        <v>6600</v>
      </c>
      <c r="D26" s="46">
        <f>C26/12*3</f>
        <v>1650</v>
      </c>
      <c r="E26" s="46">
        <f>1409+F26</f>
        <v>3448.2</v>
      </c>
      <c r="F26" s="46">
        <v>2039.2</v>
      </c>
      <c r="H26" s="29"/>
    </row>
    <row r="27" spans="1:12" x14ac:dyDescent="0.3">
      <c r="A27" s="10" t="s">
        <v>4</v>
      </c>
      <c r="B27" s="11" t="s">
        <v>3</v>
      </c>
      <c r="C27" s="20">
        <v>7.25</v>
      </c>
      <c r="D27" s="20">
        <v>7.25</v>
      </c>
      <c r="E27" s="26">
        <v>8</v>
      </c>
      <c r="F27" s="26">
        <v>8</v>
      </c>
      <c r="H27" s="29"/>
    </row>
    <row r="28" spans="1:12" ht="21.95" customHeight="1" x14ac:dyDescent="0.3">
      <c r="A28" s="10" t="s">
        <v>22</v>
      </c>
      <c r="B28" s="6" t="s">
        <v>23</v>
      </c>
      <c r="C28" s="27">
        <f>C26/C27/12*1000</f>
        <v>75862.068965517232</v>
      </c>
      <c r="D28" s="27">
        <f>D26*1000/9/D27</f>
        <v>25287.356321839081</v>
      </c>
      <c r="E28" s="27">
        <v>58708.3</v>
      </c>
      <c r="F28" s="27">
        <v>84966.7</v>
      </c>
    </row>
    <row r="29" spans="1:12" ht="25.5" x14ac:dyDescent="0.3">
      <c r="A29" s="5" t="s">
        <v>5</v>
      </c>
      <c r="B29" s="6" t="s">
        <v>2</v>
      </c>
      <c r="C29" s="89">
        <v>1650</v>
      </c>
      <c r="D29" s="20">
        <f>C29/12*3</f>
        <v>412.5</v>
      </c>
      <c r="E29" s="89">
        <f>389.1+F29</f>
        <v>876.90000000000009</v>
      </c>
      <c r="F29" s="89">
        <v>487.8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6" t="s">
        <v>2</v>
      </c>
      <c r="C30" s="89">
        <v>3516</v>
      </c>
      <c r="D30" s="20">
        <f>C30/12*3</f>
        <v>879</v>
      </c>
      <c r="E30" s="89">
        <f>2807.1+F30</f>
        <v>2984.5</v>
      </c>
      <c r="F30" s="89">
        <v>177.4</v>
      </c>
      <c r="G30" s="74"/>
      <c r="H30" s="75"/>
      <c r="I30" s="75"/>
      <c r="J30" s="75"/>
      <c r="K30" s="75"/>
      <c r="L30" s="75"/>
    </row>
    <row r="31" spans="1:12" ht="25.5" x14ac:dyDescent="0.3">
      <c r="A31" s="12" t="s">
        <v>7</v>
      </c>
      <c r="B31" s="6" t="s">
        <v>2</v>
      </c>
      <c r="C31" s="89">
        <v>0</v>
      </c>
      <c r="D31" s="89">
        <f t="shared" si="1"/>
        <v>0</v>
      </c>
      <c r="E31" s="89">
        <v>0</v>
      </c>
      <c r="F31" s="89">
        <v>0</v>
      </c>
      <c r="G31" s="74"/>
      <c r="H31" s="75"/>
      <c r="I31" s="79"/>
      <c r="J31" s="75"/>
      <c r="K31" s="75"/>
      <c r="L31" s="75"/>
    </row>
    <row r="32" spans="1:12" ht="36.75" x14ac:dyDescent="0.3">
      <c r="A32" s="12" t="s">
        <v>8</v>
      </c>
      <c r="B32" s="6" t="s">
        <v>2</v>
      </c>
      <c r="C32" s="89">
        <v>200</v>
      </c>
      <c r="D32" s="20">
        <f>C32/12*3</f>
        <v>50</v>
      </c>
      <c r="E32" s="89">
        <v>0</v>
      </c>
      <c r="F32" s="89">
        <v>0</v>
      </c>
      <c r="G32" s="74"/>
      <c r="H32" s="75"/>
      <c r="I32" s="75"/>
      <c r="J32" s="75"/>
      <c r="K32" s="75"/>
      <c r="L32" s="75"/>
    </row>
    <row r="33" spans="1:6" ht="50.25" customHeight="1" x14ac:dyDescent="0.3">
      <c r="A33" s="12" t="s">
        <v>9</v>
      </c>
      <c r="B33" s="6" t="s">
        <v>2</v>
      </c>
      <c r="C33" s="89">
        <v>350</v>
      </c>
      <c r="D33" s="20">
        <f>C33/12*3</f>
        <v>87.5</v>
      </c>
      <c r="E33" s="89">
        <v>0.7</v>
      </c>
      <c r="F33" s="89">
        <v>0.7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5"/>
  <sheetViews>
    <sheetView zoomScale="70" zoomScaleNormal="70" workbookViewId="0">
      <selection activeCell="H35" sqref="H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6" width="14.140625" style="31" customWidth="1"/>
    <col min="7" max="7" width="13.5703125" style="29" customWidth="1"/>
    <col min="8" max="8" width="12" style="2" customWidth="1"/>
    <col min="9" max="9" width="13.5703125" style="2" customWidth="1"/>
    <col min="10" max="11" width="9.140625" style="2"/>
    <col min="12" max="12" width="12" style="2" customWidth="1"/>
    <col min="13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66"/>
    </row>
    <row r="2" spans="1:12" x14ac:dyDescent="0.3">
      <c r="A2" s="120" t="s">
        <v>90</v>
      </c>
      <c r="B2" s="120"/>
      <c r="C2" s="120"/>
      <c r="D2" s="120"/>
      <c r="E2" s="120"/>
      <c r="F2" s="66"/>
    </row>
    <row r="3" spans="1:12" ht="10.5" customHeight="1" x14ac:dyDescent="0.3">
      <c r="A3" s="1"/>
    </row>
    <row r="4" spans="1:12" ht="54" customHeight="1" x14ac:dyDescent="0.3">
      <c r="A4" s="132" t="s">
        <v>45</v>
      </c>
      <c r="B4" s="132"/>
      <c r="C4" s="132"/>
      <c r="D4" s="132"/>
      <c r="E4" s="132"/>
      <c r="F4" s="58"/>
    </row>
    <row r="5" spans="1:12" ht="21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x14ac:dyDescent="0.3">
      <c r="A9" s="122" t="s">
        <v>24</v>
      </c>
      <c r="B9" s="130" t="s">
        <v>15</v>
      </c>
      <c r="C9" s="124" t="s">
        <v>35</v>
      </c>
      <c r="D9" s="124"/>
      <c r="E9" s="124"/>
      <c r="F9" s="26" t="s">
        <v>93</v>
      </c>
      <c r="L9" s="29"/>
    </row>
    <row r="10" spans="1:12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6" t="s">
        <v>10</v>
      </c>
      <c r="C11" s="42">
        <v>51</v>
      </c>
      <c r="D11" s="42">
        <v>51</v>
      </c>
      <c r="E11" s="42">
        <v>51</v>
      </c>
      <c r="F11" s="42">
        <v>51</v>
      </c>
    </row>
    <row r="12" spans="1:12" ht="25.5" x14ac:dyDescent="0.3">
      <c r="A12" s="10" t="s">
        <v>20</v>
      </c>
      <c r="B12" s="6" t="s">
        <v>2</v>
      </c>
      <c r="C12" s="27">
        <f>(C13-C32)/C11</f>
        <v>1488.4313725490197</v>
      </c>
      <c r="D12" s="27">
        <f t="shared" ref="D12:E12" si="0">(D13-D32)/D11</f>
        <v>435.56372549019608</v>
      </c>
      <c r="E12" s="27">
        <f t="shared" si="0"/>
        <v>895.38627450980403</v>
      </c>
      <c r="F12" s="27"/>
      <c r="G12" s="29" t="s">
        <v>28</v>
      </c>
    </row>
    <row r="13" spans="1:12" ht="25.5" x14ac:dyDescent="0.3">
      <c r="A13" s="5" t="s">
        <v>84</v>
      </c>
      <c r="B13" s="6" t="s">
        <v>2</v>
      </c>
      <c r="C13" s="69">
        <f>C15+C29+C30+C31+C32+C33</f>
        <v>78410</v>
      </c>
      <c r="D13" s="69">
        <f>D15+D29+D30+D31+D32+D33</f>
        <v>23234.75</v>
      </c>
      <c r="E13" s="69">
        <f>E15+E29+E30+E31+E32+E33</f>
        <v>45664.700000000004</v>
      </c>
      <c r="F13" s="69">
        <f>F15+F29+F30+F31+F32+F33</f>
        <v>21449.4</v>
      </c>
    </row>
    <row r="14" spans="1:12" x14ac:dyDescent="0.3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15"/>
    </row>
    <row r="15" spans="1:12" ht="25.5" x14ac:dyDescent="0.3">
      <c r="A15" s="5" t="s">
        <v>82</v>
      </c>
      <c r="B15" s="6" t="s">
        <v>2</v>
      </c>
      <c r="C15" s="69">
        <f>C17+C20+C23+C26</f>
        <v>39911</v>
      </c>
      <c r="D15" s="69">
        <f t="shared" ref="D15" si="2">D17+D20+D23+D26</f>
        <v>9977.75</v>
      </c>
      <c r="E15" s="69">
        <f>18976.9+F15</f>
        <v>37337.300000000003</v>
      </c>
      <c r="F15" s="100">
        <v>18360.400000000001</v>
      </c>
      <c r="H15" s="39"/>
      <c r="J15" s="15"/>
    </row>
    <row r="16" spans="1:12" x14ac:dyDescent="0.3">
      <c r="A16" s="8" t="s">
        <v>1</v>
      </c>
      <c r="B16" s="9"/>
      <c r="C16" s="25"/>
      <c r="D16" s="25"/>
      <c r="E16" s="25"/>
      <c r="F16" s="91"/>
    </row>
    <row r="17" spans="1:11" s="18" customFormat="1" ht="25.5" x14ac:dyDescent="0.3">
      <c r="A17" s="20" t="s">
        <v>25</v>
      </c>
      <c r="B17" s="17" t="s">
        <v>2</v>
      </c>
      <c r="C17" s="48">
        <v>5609</v>
      </c>
      <c r="D17" s="48">
        <f>C17/12*3</f>
        <v>1402.25</v>
      </c>
      <c r="E17" s="48">
        <f>1082.7+F17</f>
        <v>2419.1999999999998</v>
      </c>
      <c r="F17" s="91">
        <v>1336.5</v>
      </c>
      <c r="G17" s="29"/>
    </row>
    <row r="18" spans="1:11" s="18" customFormat="1" x14ac:dyDescent="0.3">
      <c r="A18" s="21" t="s">
        <v>4</v>
      </c>
      <c r="B18" s="22" t="s">
        <v>3</v>
      </c>
      <c r="C18" s="20">
        <v>2</v>
      </c>
      <c r="D18" s="20">
        <v>2</v>
      </c>
      <c r="E18" s="26">
        <v>2</v>
      </c>
      <c r="F18" s="20">
        <v>2</v>
      </c>
      <c r="G18" s="29"/>
    </row>
    <row r="19" spans="1:11" s="18" customFormat="1" ht="21.95" customHeight="1" x14ac:dyDescent="0.3">
      <c r="A19" s="21" t="s">
        <v>22</v>
      </c>
      <c r="B19" s="17" t="s">
        <v>23</v>
      </c>
      <c r="C19" s="27">
        <f>C17/C18/12*1000</f>
        <v>233708.33333333334</v>
      </c>
      <c r="D19" s="27">
        <f>D17*1000/3/D18</f>
        <v>233708.33333333334</v>
      </c>
      <c r="E19" s="27">
        <f>E17*1000/10/E18</f>
        <v>120960</v>
      </c>
      <c r="F19" s="89">
        <v>222750</v>
      </c>
      <c r="G19" s="29"/>
      <c r="K19" s="18" t="s">
        <v>27</v>
      </c>
    </row>
    <row r="20" spans="1:11" s="18" customFormat="1" ht="25.5" x14ac:dyDescent="0.3">
      <c r="A20" s="20" t="s">
        <v>26</v>
      </c>
      <c r="B20" s="17" t="s">
        <v>2</v>
      </c>
      <c r="C20" s="48">
        <v>13539</v>
      </c>
      <c r="D20" s="48">
        <f>C20/12*3</f>
        <v>3384.75</v>
      </c>
      <c r="E20" s="48">
        <f>14050.9+F20</f>
        <v>25847.1</v>
      </c>
      <c r="F20" s="91">
        <v>11796.2</v>
      </c>
      <c r="G20" s="29"/>
    </row>
    <row r="21" spans="1:11" s="18" customFormat="1" x14ac:dyDescent="0.3">
      <c r="A21" s="21" t="s">
        <v>4</v>
      </c>
      <c r="B21" s="22" t="s">
        <v>3</v>
      </c>
      <c r="C21" s="20">
        <v>16.3</v>
      </c>
      <c r="D21" s="20">
        <v>16.3</v>
      </c>
      <c r="E21" s="26">
        <v>13</v>
      </c>
      <c r="F21" s="20">
        <v>13</v>
      </c>
      <c r="G21" s="29"/>
    </row>
    <row r="22" spans="1:11" ht="21.95" customHeight="1" x14ac:dyDescent="0.3">
      <c r="A22" s="10" t="s">
        <v>22</v>
      </c>
      <c r="B22" s="6" t="s">
        <v>23</v>
      </c>
      <c r="C22" s="27">
        <f>C20/C21/12*1000</f>
        <v>69217.791411042941</v>
      </c>
      <c r="D22" s="27">
        <f>D20*1000/3/D21</f>
        <v>69217.791411042941</v>
      </c>
      <c r="E22" s="27">
        <f>E20*1000/10/E21</f>
        <v>198823.84615384616</v>
      </c>
      <c r="F22" s="89">
        <v>302466.7</v>
      </c>
    </row>
    <row r="23" spans="1:11" ht="39" x14ac:dyDescent="0.3">
      <c r="A23" s="14" t="s">
        <v>21</v>
      </c>
      <c r="B23" s="6" t="s">
        <v>2</v>
      </c>
      <c r="C23" s="48">
        <v>8943</v>
      </c>
      <c r="D23" s="48">
        <f>C23/12*3</f>
        <v>2235.75</v>
      </c>
      <c r="E23" s="48">
        <f>1156.8+F23</f>
        <v>2486.8000000000002</v>
      </c>
      <c r="F23" s="91">
        <v>1330</v>
      </c>
    </row>
    <row r="24" spans="1:11" x14ac:dyDescent="0.3">
      <c r="A24" s="10" t="s">
        <v>4</v>
      </c>
      <c r="B24" s="11" t="s">
        <v>3</v>
      </c>
      <c r="C24" s="20">
        <v>2</v>
      </c>
      <c r="D24" s="20">
        <v>2</v>
      </c>
      <c r="E24" s="26">
        <v>3</v>
      </c>
      <c r="F24" s="20">
        <v>3</v>
      </c>
    </row>
    <row r="25" spans="1:11" ht="21.95" customHeight="1" x14ac:dyDescent="0.3">
      <c r="A25" s="10" t="s">
        <v>22</v>
      </c>
      <c r="B25" s="6" t="s">
        <v>23</v>
      </c>
      <c r="C25" s="27">
        <f>C23/C24/12*1000</f>
        <v>372625</v>
      </c>
      <c r="D25" s="27">
        <f>D23*1000/3/D24</f>
        <v>372625</v>
      </c>
      <c r="E25" s="27">
        <f>E23*1000/10/E24</f>
        <v>82893.333333333328</v>
      </c>
      <c r="F25" s="89">
        <v>147777.79999999999</v>
      </c>
    </row>
    <row r="26" spans="1:11" ht="25.5" x14ac:dyDescent="0.3">
      <c r="A26" s="7" t="s">
        <v>19</v>
      </c>
      <c r="B26" s="6" t="s">
        <v>2</v>
      </c>
      <c r="C26" s="48">
        <v>11820</v>
      </c>
      <c r="D26" s="48">
        <f>C26/12*3</f>
        <v>2955</v>
      </c>
      <c r="E26" s="48">
        <f>2686.5+F26</f>
        <v>6584.2</v>
      </c>
      <c r="F26" s="91">
        <v>3897.7</v>
      </c>
    </row>
    <row r="27" spans="1:11" x14ac:dyDescent="0.3">
      <c r="A27" s="10" t="s">
        <v>4</v>
      </c>
      <c r="B27" s="11" t="s">
        <v>3</v>
      </c>
      <c r="C27" s="20">
        <v>13</v>
      </c>
      <c r="D27" s="20">
        <v>13</v>
      </c>
      <c r="E27" s="26">
        <v>14</v>
      </c>
      <c r="F27" s="26">
        <v>13</v>
      </c>
    </row>
    <row r="28" spans="1:11" ht="21.95" customHeight="1" x14ac:dyDescent="0.3">
      <c r="A28" s="10" t="s">
        <v>22</v>
      </c>
      <c r="B28" s="6" t="s">
        <v>23</v>
      </c>
      <c r="C28" s="27">
        <f>C26/C27/12*1000</f>
        <v>75769.23076923078</v>
      </c>
      <c r="D28" s="27">
        <f>D26*1000/9/D27</f>
        <v>25256.410256410254</v>
      </c>
      <c r="E28" s="27">
        <f>E26*1000/10/E27</f>
        <v>47030</v>
      </c>
      <c r="F28" s="27">
        <v>99941</v>
      </c>
    </row>
    <row r="29" spans="1:11" ht="25.5" x14ac:dyDescent="0.3">
      <c r="A29" s="5" t="s">
        <v>5</v>
      </c>
      <c r="B29" s="6" t="s">
        <v>2</v>
      </c>
      <c r="C29" s="91">
        <v>5440</v>
      </c>
      <c r="D29" s="91">
        <v>4713</v>
      </c>
      <c r="E29" s="91">
        <f>1935.3+F29</f>
        <v>3517.8999999999996</v>
      </c>
      <c r="F29" s="91">
        <v>1582.6</v>
      </c>
    </row>
    <row r="30" spans="1:11" ht="36.75" x14ac:dyDescent="0.3">
      <c r="A30" s="12" t="s">
        <v>6</v>
      </c>
      <c r="B30" s="6" t="s">
        <v>2</v>
      </c>
      <c r="C30" s="27">
        <v>6210</v>
      </c>
      <c r="D30" s="89">
        <v>5597</v>
      </c>
      <c r="E30" s="89">
        <f>3254.1+F30</f>
        <v>4003.8</v>
      </c>
      <c r="F30" s="89">
        <v>749.7</v>
      </c>
    </row>
    <row r="31" spans="1:11" ht="25.5" x14ac:dyDescent="0.3">
      <c r="A31" s="12" t="s">
        <v>7</v>
      </c>
      <c r="B31" s="6" t="s">
        <v>2</v>
      </c>
      <c r="C31" s="27">
        <v>150</v>
      </c>
      <c r="D31" s="89">
        <f t="shared" si="1"/>
        <v>150</v>
      </c>
      <c r="E31" s="89">
        <v>0</v>
      </c>
      <c r="F31" s="89">
        <v>0</v>
      </c>
      <c r="G31" s="43"/>
      <c r="H31" s="43"/>
      <c r="I31" s="43"/>
      <c r="J31" s="47"/>
      <c r="K31" s="47"/>
    </row>
    <row r="32" spans="1:11" ht="36.75" x14ac:dyDescent="0.3">
      <c r="A32" s="12" t="s">
        <v>8</v>
      </c>
      <c r="B32" s="6" t="s">
        <v>2</v>
      </c>
      <c r="C32" s="27">
        <v>2500</v>
      </c>
      <c r="D32" s="89">
        <v>1021</v>
      </c>
      <c r="E32" s="89">
        <v>0</v>
      </c>
      <c r="F32" s="89">
        <v>0</v>
      </c>
      <c r="G32" s="74"/>
      <c r="H32" s="75"/>
      <c r="I32" s="75"/>
      <c r="J32" s="75"/>
      <c r="K32" s="75"/>
    </row>
    <row r="33" spans="1:11" ht="50.25" customHeight="1" x14ac:dyDescent="0.3">
      <c r="A33" s="12" t="s">
        <v>9</v>
      </c>
      <c r="B33" s="6" t="s">
        <v>2</v>
      </c>
      <c r="C33" s="27">
        <v>24199</v>
      </c>
      <c r="D33" s="89">
        <v>1776</v>
      </c>
      <c r="E33" s="89">
        <v>805.7</v>
      </c>
      <c r="F33" s="89">
        <v>756.7</v>
      </c>
      <c r="G33" s="74"/>
      <c r="H33" s="75"/>
      <c r="I33" s="75"/>
      <c r="J33" s="75"/>
      <c r="K33" s="75"/>
    </row>
    <row r="34" spans="1:11" x14ac:dyDescent="0.3">
      <c r="G34" s="74"/>
      <c r="H34" s="75"/>
      <c r="I34" s="75"/>
      <c r="J34" s="75"/>
      <c r="K34" s="75"/>
    </row>
    <row r="35" spans="1:11" x14ac:dyDescent="0.3">
      <c r="G35" s="74"/>
      <c r="H35" s="75"/>
      <c r="I35" s="75"/>
      <c r="J35" s="75"/>
      <c r="K35" s="75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3"/>
  <sheetViews>
    <sheetView zoomScale="70" zoomScaleNormal="70" workbookViewId="0">
      <selection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6" width="13.5703125" style="31" customWidth="1"/>
    <col min="7" max="7" width="12" style="29" customWidth="1"/>
    <col min="8" max="8" width="13.5703125" style="2" customWidth="1"/>
    <col min="9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  <c r="F1" s="60"/>
    </row>
    <row r="2" spans="1:11" x14ac:dyDescent="0.3">
      <c r="A2" s="120" t="s">
        <v>90</v>
      </c>
      <c r="B2" s="120"/>
      <c r="C2" s="120"/>
      <c r="D2" s="120"/>
      <c r="E2" s="120"/>
      <c r="F2" s="60"/>
    </row>
    <row r="3" spans="1:11" x14ac:dyDescent="0.3">
      <c r="A3" s="1"/>
    </row>
    <row r="4" spans="1:11" ht="42" customHeight="1" x14ac:dyDescent="0.3">
      <c r="A4" s="132" t="s">
        <v>46</v>
      </c>
      <c r="B4" s="132"/>
      <c r="C4" s="132"/>
      <c r="D4" s="132"/>
      <c r="E4" s="132"/>
      <c r="F4" s="58"/>
    </row>
    <row r="5" spans="1:11" ht="15.75" customHeight="1" x14ac:dyDescent="0.3">
      <c r="A5" s="121" t="s">
        <v>13</v>
      </c>
      <c r="B5" s="121"/>
      <c r="C5" s="121"/>
      <c r="D5" s="121"/>
      <c r="E5" s="121"/>
      <c r="F5" s="59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30" t="s">
        <v>15</v>
      </c>
      <c r="C9" s="124" t="s">
        <v>35</v>
      </c>
      <c r="D9" s="124"/>
      <c r="E9" s="124"/>
      <c r="F9" s="108" t="s">
        <v>98</v>
      </c>
      <c r="K9" s="29"/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1" x14ac:dyDescent="0.3">
      <c r="A11" s="5" t="s">
        <v>18</v>
      </c>
      <c r="B11" s="6" t="s">
        <v>10</v>
      </c>
      <c r="C11" s="42">
        <v>53</v>
      </c>
      <c r="D11" s="42">
        <v>53</v>
      </c>
      <c r="E11" s="42">
        <v>53</v>
      </c>
      <c r="F11" s="27">
        <v>53</v>
      </c>
    </row>
    <row r="12" spans="1:11" ht="25.5" x14ac:dyDescent="0.3">
      <c r="A12" s="10" t="s">
        <v>20</v>
      </c>
      <c r="B12" s="6" t="s">
        <v>2</v>
      </c>
      <c r="C12" s="27">
        <f>(C13-C32)/C11</f>
        <v>915.7358490566038</v>
      </c>
      <c r="D12" s="27">
        <f t="shared" ref="D12:E12" si="0">(D13-D32)/D11</f>
        <v>228.93396226415095</v>
      </c>
      <c r="E12" s="27">
        <f t="shared" si="0"/>
        <v>695.40566037735846</v>
      </c>
      <c r="F12" s="27"/>
    </row>
    <row r="13" spans="1:11" ht="25.5" x14ac:dyDescent="0.3">
      <c r="A13" s="5" t="s">
        <v>69</v>
      </c>
      <c r="B13" s="6" t="s">
        <v>2</v>
      </c>
      <c r="C13" s="69">
        <f>C15+C29+C30+C31+C32+C33</f>
        <v>51619</v>
      </c>
      <c r="D13" s="69">
        <f>D15+D29+D30+D31+D32+D33</f>
        <v>12904.75</v>
      </c>
      <c r="E13" s="69">
        <f>E15+E29+E30+E31+E32+E33</f>
        <v>36856.5</v>
      </c>
      <c r="F13" s="69">
        <f>F15+F29+F30+F31+F32+F33</f>
        <v>17836.399999999998</v>
      </c>
    </row>
    <row r="14" spans="1:11" x14ac:dyDescent="0.3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G14" s="31"/>
    </row>
    <row r="15" spans="1:11" ht="25.5" x14ac:dyDescent="0.3">
      <c r="A15" s="5" t="s">
        <v>70</v>
      </c>
      <c r="B15" s="6" t="s">
        <v>2</v>
      </c>
      <c r="C15" s="69">
        <f>C17+C20+C23+C26</f>
        <v>37452</v>
      </c>
      <c r="D15" s="69">
        <f>D17+D20+D23+D26</f>
        <v>9363</v>
      </c>
      <c r="E15" s="69">
        <f>14075.1+F15</f>
        <v>29252.800000000003</v>
      </c>
      <c r="F15" s="69">
        <v>15177.7</v>
      </c>
      <c r="G15" s="18"/>
      <c r="H15" s="15"/>
    </row>
    <row r="16" spans="1:11" x14ac:dyDescent="0.3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  <c r="G16" s="18"/>
    </row>
    <row r="17" spans="1:21" s="18" customFormat="1" ht="25.5" x14ac:dyDescent="0.3">
      <c r="A17" s="20" t="s">
        <v>25</v>
      </c>
      <c r="B17" s="17" t="s">
        <v>2</v>
      </c>
      <c r="C17" s="42">
        <v>6844</v>
      </c>
      <c r="D17" s="42">
        <f>C17/12*3</f>
        <v>1711</v>
      </c>
      <c r="E17" s="42">
        <f>1423.2+F17</f>
        <v>2603.1999999999998</v>
      </c>
      <c r="F17" s="27">
        <v>1180</v>
      </c>
    </row>
    <row r="18" spans="1:21" s="18" customFormat="1" x14ac:dyDescent="0.3">
      <c r="A18" s="21" t="s">
        <v>4</v>
      </c>
      <c r="B18" s="22" t="s">
        <v>3</v>
      </c>
      <c r="C18" s="107">
        <v>2</v>
      </c>
      <c r="D18" s="89">
        <v>2</v>
      </c>
      <c r="E18" s="28">
        <v>3</v>
      </c>
      <c r="F18" s="28">
        <v>3</v>
      </c>
    </row>
    <row r="19" spans="1:21" s="18" customFormat="1" ht="21.95" customHeight="1" x14ac:dyDescent="0.3">
      <c r="A19" s="21" t="s">
        <v>22</v>
      </c>
      <c r="B19" s="17" t="s">
        <v>23</v>
      </c>
      <c r="C19" s="27">
        <f>C17/C18/12*1000</f>
        <v>285166.66666666669</v>
      </c>
      <c r="D19" s="27">
        <f>D17*1000/3/D18</f>
        <v>285166.66666666669</v>
      </c>
      <c r="E19" s="27">
        <f>E17*1000/3/E18</f>
        <v>289244.44444444444</v>
      </c>
      <c r="F19" s="27">
        <v>131111.1</v>
      </c>
    </row>
    <row r="20" spans="1:21" s="18" customFormat="1" ht="25.5" x14ac:dyDescent="0.3">
      <c r="A20" s="20" t="s">
        <v>26</v>
      </c>
      <c r="B20" s="17" t="s">
        <v>2</v>
      </c>
      <c r="C20" s="42">
        <v>18274</v>
      </c>
      <c r="D20" s="42">
        <f>C20/12*3</f>
        <v>4568.5</v>
      </c>
      <c r="E20" s="42">
        <f>9068.5+F20</f>
        <v>19503.400000000001</v>
      </c>
      <c r="F20" s="27">
        <v>10434.9</v>
      </c>
    </row>
    <row r="21" spans="1:21" s="18" customFormat="1" x14ac:dyDescent="0.3">
      <c r="A21" s="21" t="s">
        <v>4</v>
      </c>
      <c r="B21" s="22" t="s">
        <v>3</v>
      </c>
      <c r="C21" s="107">
        <v>11.7</v>
      </c>
      <c r="D21" s="89">
        <v>11.7</v>
      </c>
      <c r="E21" s="28">
        <v>15</v>
      </c>
      <c r="F21" s="28">
        <v>14</v>
      </c>
    </row>
    <row r="22" spans="1:21" ht="21.95" customHeight="1" x14ac:dyDescent="0.3">
      <c r="A22" s="10" t="s">
        <v>22</v>
      </c>
      <c r="B22" s="6" t="s">
        <v>23</v>
      </c>
      <c r="C22" s="27">
        <f>C20/C21/12*1000</f>
        <v>130156.69515669518</v>
      </c>
      <c r="D22" s="27">
        <f>D20*1000/3/D21</f>
        <v>130156.69515669516</v>
      </c>
      <c r="E22" s="27">
        <f>E20*1000/3/E21</f>
        <v>433408.88888888888</v>
      </c>
      <c r="F22" s="27">
        <v>248450</v>
      </c>
      <c r="G22" s="18"/>
    </row>
    <row r="23" spans="1:21" ht="39" x14ac:dyDescent="0.3">
      <c r="A23" s="14" t="s">
        <v>21</v>
      </c>
      <c r="B23" s="6" t="s">
        <v>2</v>
      </c>
      <c r="C23" s="42">
        <v>2821</v>
      </c>
      <c r="D23" s="42">
        <f>C23/12*3</f>
        <v>705.25</v>
      </c>
      <c r="E23" s="42">
        <f>955.2+F23</f>
        <v>1655.7</v>
      </c>
      <c r="F23" s="27">
        <v>700.5</v>
      </c>
      <c r="G23" s="18"/>
    </row>
    <row r="24" spans="1:21" x14ac:dyDescent="0.3">
      <c r="A24" s="10" t="s">
        <v>4</v>
      </c>
      <c r="B24" s="11" t="s">
        <v>3</v>
      </c>
      <c r="C24" s="107">
        <v>3</v>
      </c>
      <c r="D24" s="89">
        <v>3</v>
      </c>
      <c r="E24" s="28">
        <v>3</v>
      </c>
      <c r="F24" s="28">
        <v>2</v>
      </c>
      <c r="G24" s="18"/>
      <c r="U24" s="2" t="s">
        <v>27</v>
      </c>
    </row>
    <row r="25" spans="1:21" ht="21.95" customHeight="1" x14ac:dyDescent="0.3">
      <c r="A25" s="10" t="s">
        <v>22</v>
      </c>
      <c r="B25" s="6" t="s">
        <v>23</v>
      </c>
      <c r="C25" s="27">
        <f>C23/C24/12*1000</f>
        <v>78361.111111111109</v>
      </c>
      <c r="D25" s="27">
        <f>D23*1000/3/D24</f>
        <v>78361.111111111109</v>
      </c>
      <c r="E25" s="27">
        <f>E23*1000/3/E24</f>
        <v>183966.66666666666</v>
      </c>
      <c r="F25" s="27">
        <v>116750</v>
      </c>
      <c r="G25" s="18"/>
    </row>
    <row r="26" spans="1:21" ht="25.5" x14ac:dyDescent="0.3">
      <c r="A26" s="7" t="s">
        <v>19</v>
      </c>
      <c r="B26" s="6" t="s">
        <v>2</v>
      </c>
      <c r="C26" s="89">
        <v>9513</v>
      </c>
      <c r="D26" s="89">
        <f>C26/12*3</f>
        <v>2378.25</v>
      </c>
      <c r="E26" s="89">
        <f>2628.2+F26</f>
        <v>5490.5</v>
      </c>
      <c r="F26" s="27">
        <v>2862.3</v>
      </c>
      <c r="G26" s="18"/>
    </row>
    <row r="27" spans="1:21" x14ac:dyDescent="0.3">
      <c r="A27" s="10" t="s">
        <v>4</v>
      </c>
      <c r="B27" s="11" t="s">
        <v>3</v>
      </c>
      <c r="C27" s="110">
        <v>9.25</v>
      </c>
      <c r="D27" s="115">
        <v>9.25</v>
      </c>
      <c r="E27" s="107">
        <v>15</v>
      </c>
      <c r="F27" s="28">
        <v>13</v>
      </c>
      <c r="G27" s="18"/>
    </row>
    <row r="28" spans="1:21" ht="21.95" customHeight="1" x14ac:dyDescent="0.3">
      <c r="A28" s="10" t="s">
        <v>22</v>
      </c>
      <c r="B28" s="6" t="s">
        <v>23</v>
      </c>
      <c r="C28" s="89">
        <f>C26/C27/12*1000</f>
        <v>85702.702702702707</v>
      </c>
      <c r="D28" s="89">
        <f>D26*1000/3/D27</f>
        <v>85702.702702702707</v>
      </c>
      <c r="E28" s="89">
        <f>E26*1000/3/E27</f>
        <v>122011.11111111111</v>
      </c>
      <c r="F28" s="27">
        <v>73392.3</v>
      </c>
    </row>
    <row r="29" spans="1:21" ht="25.5" x14ac:dyDescent="0.3">
      <c r="A29" s="5" t="s">
        <v>5</v>
      </c>
      <c r="B29" s="6" t="s">
        <v>2</v>
      </c>
      <c r="C29" s="89">
        <v>3305</v>
      </c>
      <c r="D29" s="89">
        <f>C29/12*3</f>
        <v>826.25</v>
      </c>
      <c r="E29" s="89">
        <f>1483+F29</f>
        <v>2983.6</v>
      </c>
      <c r="F29" s="89">
        <v>1500.6</v>
      </c>
      <c r="G29" s="43"/>
      <c r="H29" s="43"/>
      <c r="I29" s="47"/>
      <c r="J29" s="47"/>
    </row>
    <row r="30" spans="1:21" ht="36.75" x14ac:dyDescent="0.3">
      <c r="A30" s="12" t="s">
        <v>6</v>
      </c>
      <c r="B30" s="6" t="s">
        <v>2</v>
      </c>
      <c r="C30" s="89">
        <v>5020</v>
      </c>
      <c r="D30" s="89">
        <f>C30/12*3</f>
        <v>1255</v>
      </c>
      <c r="E30" s="89">
        <f>3189.2+F30</f>
        <v>3539.7</v>
      </c>
      <c r="F30" s="89">
        <v>350.5</v>
      </c>
      <c r="G30" s="43"/>
      <c r="H30" s="47"/>
      <c r="I30" s="47"/>
      <c r="J30" s="47"/>
    </row>
    <row r="31" spans="1:21" ht="25.5" x14ac:dyDescent="0.3">
      <c r="A31" s="12" t="s">
        <v>7</v>
      </c>
      <c r="B31" s="6" t="s">
        <v>2</v>
      </c>
      <c r="C31" s="27">
        <v>0</v>
      </c>
      <c r="D31" s="89">
        <f>C31/12*3</f>
        <v>0</v>
      </c>
      <c r="E31" s="89">
        <v>0</v>
      </c>
      <c r="F31" s="89">
        <v>0</v>
      </c>
      <c r="G31" s="43"/>
      <c r="H31" s="43"/>
      <c r="I31" s="47"/>
      <c r="J31" s="47"/>
    </row>
    <row r="32" spans="1:21" ht="36.75" x14ac:dyDescent="0.3">
      <c r="A32" s="12" t="s">
        <v>8</v>
      </c>
      <c r="B32" s="6" t="s">
        <v>2</v>
      </c>
      <c r="C32" s="27">
        <v>3085</v>
      </c>
      <c r="D32" s="89">
        <f>C32/12*3</f>
        <v>771.25</v>
      </c>
      <c r="E32" s="89">
        <v>0</v>
      </c>
      <c r="F32" s="89">
        <v>0</v>
      </c>
      <c r="I32" s="47"/>
      <c r="J32" s="47"/>
    </row>
    <row r="33" spans="1:6" ht="51.75" customHeight="1" x14ac:dyDescent="0.3">
      <c r="A33" s="12" t="s">
        <v>9</v>
      </c>
      <c r="B33" s="6" t="s">
        <v>2</v>
      </c>
      <c r="C33" s="27">
        <v>2757</v>
      </c>
      <c r="D33" s="89">
        <f>C33/12*3</f>
        <v>689.25</v>
      </c>
      <c r="E33" s="89">
        <f>272.8+F33</f>
        <v>1080.4000000000001</v>
      </c>
      <c r="F33" s="89">
        <v>807.6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калачевская</vt:lpstr>
      <vt:lpstr>курская</vt:lpstr>
      <vt:lpstr>каракольская</vt:lpstr>
      <vt:lpstr>орловка</vt:lpstr>
      <vt:lpstr>знаменка</vt:lpstr>
      <vt:lpstr>зареченская</vt:lpstr>
      <vt:lpstr>Раздольное</vt:lpstr>
      <vt:lpstr>двуречный</vt:lpstr>
      <vt:lpstr>Интернациональная</vt:lpstr>
      <vt:lpstr>кумайская</vt:lpstr>
      <vt:lpstr>московская</vt:lpstr>
      <vt:lpstr>свободненская</vt:lpstr>
      <vt:lpstr>ейский</vt:lpstr>
      <vt:lpstr>сурганская</vt:lpstr>
      <vt:lpstr>юбилейное</vt:lpstr>
      <vt:lpstr>бузулукская</vt:lpstr>
      <vt:lpstr>ярославская</vt:lpstr>
      <vt:lpstr>красивое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2022-01-17T10:06:36Z</dcterms:modified>
</cp:coreProperties>
</file>